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SEDE ELECTRÓNICA NEWCORRED\"/>
    </mc:Choice>
  </mc:AlternateContent>
  <xr:revisionPtr revIDLastSave="0" documentId="8_{77D0BC52-E2C0-46BE-9216-8C704ABDB10C}" xr6:coauthVersionLast="31" xr6:coauthVersionMax="31" xr10:uidLastSave="{00000000-0000-0000-0000-000000000000}"/>
  <workbookProtection workbookPassword="A8E1" lockStructure="1"/>
  <bookViews>
    <workbookView xWindow="0" yWindow="0" windowWidth="19200" windowHeight="6470" tabRatio="899" xr2:uid="{00000000-000D-0000-FFFF-FFFF00000000}"/>
  </bookViews>
  <sheets>
    <sheet name="Contrato Anual Volumen" sheetId="24" r:id="rId1"/>
    <sheet name="SKUs y Créditos" sheetId="10" r:id="rId2"/>
    <sheet name="Precio Unitario y Rappel" sheetId="9" state="hidden" r:id="rId3"/>
    <sheet name="Licencias y Servicios" sheetId="25" state="hidden" r:id="rId4"/>
    <sheet name="Cambios" sheetId="30" state="hidden" r:id="rId5"/>
    <sheet name="Versiones" sheetId="29" state="hidden" r:id="rId6"/>
  </sheets>
  <definedNames>
    <definedName name="_xlnm.Print_Area" localSheetId="0">'Contrato Anual Volumen'!$A$1:$J$16</definedName>
    <definedName name="_xlnm.Print_Area" localSheetId="3">'Licencias y Servicios'!#REF!</definedName>
    <definedName name="_xlnm.Print_Area" localSheetId="2">'Precio Unitario y Rappel'!$A$1:$I$7</definedName>
    <definedName name="_xlnm.Print_Area" localSheetId="1">'SKUs y Créditos'!$A$1:$I$23</definedName>
    <definedName name="solver_adj" localSheetId="0" hidden="1">'Contrato Anual Volumen'!$E$18</definedName>
    <definedName name="solver_adj" localSheetId="2" hidden="1">'Precio Unitario y Rappel'!$B$9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ng" localSheetId="0" hidden="1">1</definedName>
    <definedName name="solver_eng" localSheetId="2" hidden="1">1</definedName>
    <definedName name="solver_est" localSheetId="0" hidden="1">1</definedName>
    <definedName name="solver_est" localSheetId="2" hidden="1">1</definedName>
    <definedName name="solver_itr" localSheetId="0" hidden="1">2147483647</definedName>
    <definedName name="solver_itr" localSheetId="2" hidden="1">2147483647</definedName>
    <definedName name="solver_mip" localSheetId="0" hidden="1">2147483647</definedName>
    <definedName name="solver_mip" localSheetId="2" hidden="1">2147483647</definedName>
    <definedName name="solver_mni" localSheetId="0" hidden="1">30</definedName>
    <definedName name="solver_mni" localSheetId="2" hidden="1">30</definedName>
    <definedName name="solver_mrt" localSheetId="0" hidden="1">0.075</definedName>
    <definedName name="solver_mrt" localSheetId="2" hidden="1">0.075</definedName>
    <definedName name="solver_msl" localSheetId="0" hidden="1">2</definedName>
    <definedName name="solver_msl" localSheetId="2" hidden="1">2</definedName>
    <definedName name="solver_neg" localSheetId="0" hidden="1">1</definedName>
    <definedName name="solver_neg" localSheetId="2" hidden="1">1</definedName>
    <definedName name="solver_nod" localSheetId="0" hidden="1">2147483647</definedName>
    <definedName name="solver_nod" localSheetId="2" hidden="1">2147483647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'Contrato Anual Volumen'!$E$22</definedName>
    <definedName name="solver_opt" localSheetId="2" hidden="1">'Precio Unitario y Rappel'!#REF!</definedName>
    <definedName name="solver_pre" localSheetId="0" hidden="1">0.000001</definedName>
    <definedName name="solver_pre" localSheetId="2" hidden="1">0.000001</definedName>
    <definedName name="solver_rbv" localSheetId="0" hidden="1">1</definedName>
    <definedName name="solver_rbv" localSheetId="2" hidden="1">1</definedName>
    <definedName name="solver_rlx" localSheetId="0" hidden="1">2</definedName>
    <definedName name="solver_rlx" localSheetId="2" hidden="1">2</definedName>
    <definedName name="solver_rsd" localSheetId="0" hidden="1">0</definedName>
    <definedName name="solver_rsd" localSheetId="2" hidden="1">0</definedName>
    <definedName name="solver_scl" localSheetId="0" hidden="1">1</definedName>
    <definedName name="solver_scl" localSheetId="2" hidden="1">1</definedName>
    <definedName name="solver_sho" localSheetId="0" hidden="1">2</definedName>
    <definedName name="solver_sho" localSheetId="2" hidden="1">2</definedName>
    <definedName name="solver_ssz" localSheetId="0" hidden="1">100</definedName>
    <definedName name="solver_ssz" localSheetId="2" hidden="1">100</definedName>
    <definedName name="solver_tim" localSheetId="0" hidden="1">2147483647</definedName>
    <definedName name="solver_tim" localSheetId="2" hidden="1">2147483647</definedName>
    <definedName name="solver_tol" localSheetId="0" hidden="1">0.01</definedName>
    <definedName name="solver_tol" localSheetId="2" hidden="1">0.01</definedName>
    <definedName name="solver_typ" localSheetId="0" hidden="1">3</definedName>
    <definedName name="solver_typ" localSheetId="2" hidden="1">3</definedName>
    <definedName name="solver_val" localSheetId="0" hidden="1">150000</definedName>
    <definedName name="solver_val" localSheetId="2" hidden="1">0.012</definedName>
    <definedName name="solver_ver" localSheetId="0" hidden="1">3</definedName>
    <definedName name="solver_ver" localSheetId="2" hidden="1">3</definedName>
  </definedName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4" l="1"/>
  <c r="D5" i="24"/>
  <c r="G20" i="10"/>
  <c r="D2" i="24"/>
  <c r="E5" i="24"/>
  <c r="G18" i="10"/>
  <c r="G19" i="10"/>
  <c r="M7" i="24"/>
  <c r="M8" i="24"/>
  <c r="G5" i="24"/>
  <c r="G6" i="24"/>
  <c r="G7" i="24"/>
  <c r="G8" i="24"/>
  <c r="G9" i="24"/>
  <c r="G10" i="24"/>
  <c r="G11" i="24"/>
  <c r="G4" i="24"/>
  <c r="G25" i="24"/>
  <c r="G15" i="24"/>
  <c r="G13" i="24"/>
  <c r="G26" i="24"/>
  <c r="G28" i="24"/>
  <c r="G27" i="24"/>
  <c r="G19" i="24"/>
  <c r="L7" i="24"/>
  <c r="L8" i="24"/>
  <c r="L9" i="24"/>
  <c r="C6" i="9"/>
  <c r="C7" i="9"/>
  <c r="C8" i="9"/>
  <c r="C9" i="9"/>
  <c r="C10" i="9"/>
  <c r="C11" i="9"/>
  <c r="E5" i="9"/>
  <c r="E6" i="9"/>
  <c r="E7" i="9"/>
  <c r="E8" i="9"/>
  <c r="C12" i="9"/>
  <c r="C13" i="9"/>
  <c r="C14" i="9"/>
  <c r="C15" i="9"/>
  <c r="C16" i="9"/>
  <c r="E9" i="9"/>
  <c r="E10" i="9"/>
  <c r="E11" i="9"/>
  <c r="E12" i="9"/>
  <c r="E13" i="9"/>
  <c r="E14" i="9"/>
  <c r="C20" i="24"/>
  <c r="L6" i="24"/>
  <c r="G18" i="24"/>
  <c r="F4" i="24"/>
  <c r="D7" i="24"/>
  <c r="G12" i="10"/>
  <c r="G11" i="10"/>
  <c r="D11" i="24"/>
  <c r="D10" i="24"/>
  <c r="D9" i="24"/>
  <c r="G22" i="10"/>
  <c r="D8" i="24"/>
  <c r="G21" i="10"/>
  <c r="D6" i="24"/>
  <c r="G13" i="10"/>
  <c r="F9" i="10"/>
  <c r="G9" i="10"/>
  <c r="G5" i="10"/>
  <c r="H12" i="10"/>
  <c r="E19" i="24"/>
  <c r="G14" i="10"/>
  <c r="B5" i="30"/>
  <c r="F5" i="30"/>
  <c r="E6" i="30"/>
  <c r="B4" i="30"/>
  <c r="F4" i="30"/>
  <c r="D6" i="30"/>
  <c r="B3" i="30"/>
  <c r="F3" i="30"/>
  <c r="C6" i="30"/>
  <c r="B6" i="30"/>
  <c r="E4" i="30"/>
  <c r="D5" i="30"/>
  <c r="E3" i="30"/>
  <c r="C5" i="30"/>
  <c r="D3" i="30"/>
  <c r="C4" i="30"/>
  <c r="E15" i="9"/>
  <c r="E16" i="9"/>
  <c r="E17" i="9"/>
  <c r="E18" i="9"/>
  <c r="E19" i="9"/>
  <c r="E20" i="9"/>
  <c r="H9" i="10"/>
  <c r="H20" i="10"/>
  <c r="H22" i="10"/>
  <c r="H21" i="10"/>
  <c r="H7" i="10"/>
  <c r="H6" i="10"/>
  <c r="F4" i="9"/>
  <c r="D4" i="9"/>
  <c r="N8" i="24"/>
  <c r="N9" i="24"/>
  <c r="N7" i="24"/>
  <c r="G6" i="10"/>
  <c r="G10" i="10"/>
  <c r="G8" i="10"/>
  <c r="G7" i="10"/>
  <c r="G15" i="10"/>
  <c r="G16" i="10"/>
  <c r="G17" i="10"/>
  <c r="D6" i="9"/>
  <c r="D5" i="9"/>
  <c r="D7" i="9"/>
  <c r="D8" i="9"/>
  <c r="D9" i="9"/>
  <c r="F5" i="9"/>
  <c r="D10" i="9"/>
  <c r="F6" i="9"/>
  <c r="D11" i="9"/>
  <c r="F7" i="9"/>
  <c r="D12" i="9"/>
  <c r="F8" i="9"/>
  <c r="D13" i="9"/>
  <c r="F9" i="9"/>
  <c r="D14" i="9"/>
  <c r="F10" i="9"/>
  <c r="D15" i="9"/>
  <c r="F11" i="9"/>
  <c r="D16" i="9"/>
  <c r="C17" i="9"/>
  <c r="F12" i="9"/>
  <c r="D17" i="9"/>
  <c r="C18" i="9"/>
  <c r="F13" i="9"/>
  <c r="C19" i="9"/>
  <c r="D18" i="9"/>
  <c r="F14" i="9"/>
  <c r="C20" i="9"/>
  <c r="D19" i="9"/>
  <c r="F15" i="9"/>
  <c r="D20" i="9"/>
  <c r="F16" i="9"/>
  <c r="F17" i="9"/>
  <c r="F18" i="9"/>
  <c r="F19" i="9"/>
  <c r="F20" i="9"/>
  <c r="E6" i="24"/>
  <c r="E9" i="24"/>
  <c r="E4" i="24"/>
  <c r="F9" i="24"/>
  <c r="F10" i="24"/>
  <c r="I23" i="24"/>
  <c r="E8" i="24"/>
  <c r="F11" i="24"/>
  <c r="F6" i="24"/>
  <c r="F5" i="24"/>
  <c r="F8" i="24"/>
  <c r="E7" i="24"/>
  <c r="E10" i="24"/>
  <c r="F7" i="24"/>
  <c r="E11" i="24"/>
  <c r="F13" i="24"/>
  <c r="E13" i="24"/>
  <c r="I25" i="24"/>
  <c r="D25" i="24"/>
  <c r="E25" i="24"/>
  <c r="E26" i="24"/>
  <c r="E22" i="24"/>
  <c r="E23" i="24"/>
  <c r="E15" i="24"/>
  <c r="E27" i="24"/>
  <c r="E28" i="24"/>
  <c r="I26" i="24"/>
  <c r="K26" i="24"/>
  <c r="K2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Jacobo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Número de notificaciones, contratos, emails o SMS, etc...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Poner un importe inferior al total sin descuento, en función del compromiso que adquiera el cliente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Jacobo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Impresión y ensobrado
Envio certificado
Acuse firmado
1 hoja
Incluye tratamiento manual del acuse</t>
        </r>
      </text>
    </comment>
    <comment ref="H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UNIPOST:
- Burofax 5,06 (4,53)
- Acuse de recibo: 3,245 (2,83)
TOTAL: 8,31 (7,36)
Estimamos 1 euro de coste de manipulación del acuse</t>
        </r>
      </text>
    </comment>
    <comment ref="H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ACCV: 500 sellos 150 eur
2700 ilimitado 
(ahora hacemos 700 mensajes/mes)
Estimamos 3 affidavit de media por mensaje</t>
        </r>
      </text>
    </comment>
    <comment ref="H2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59€ 1 mes de 1Tb NAS</t>
        </r>
      </text>
    </comment>
    <comment ref="H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Jacobo:</t>
        </r>
        <r>
          <rPr>
            <sz val="9"/>
            <color indexed="81"/>
            <rFont val="Tahoma"/>
            <family val="2"/>
          </rPr>
          <t xml:space="preserve">
75 eur, 5 años 1Gb</t>
        </r>
      </text>
    </comment>
  </commentList>
</comments>
</file>

<file path=xl/sharedStrings.xml><?xml version="1.0" encoding="utf-8"?>
<sst xmlns="http://schemas.openxmlformats.org/spreadsheetml/2006/main" count="169" uniqueCount="147">
  <si>
    <t>tuempresa.evicertia.es</t>
  </si>
  <si>
    <t>Evicertia integrado en tu web</t>
  </si>
  <si>
    <t>Personalizaciones y plantillas (L&amp;F)</t>
  </si>
  <si>
    <t>Precio/credito</t>
  </si>
  <si>
    <t>Créditos</t>
  </si>
  <si>
    <t>Gestión múltiples usuarios</t>
  </si>
  <si>
    <t>Descuento</t>
  </si>
  <si>
    <t>Servicios profesionales (hora)</t>
  </si>
  <si>
    <t>Soporte 24x7 (mensual)</t>
  </si>
  <si>
    <t>Servicio de Arbitraje (mensual)</t>
  </si>
  <si>
    <t>SKU</t>
  </si>
  <si>
    <t>EVI-S001</t>
  </si>
  <si>
    <t>EVI-S002</t>
  </si>
  <si>
    <t>EVI-S003</t>
  </si>
  <si>
    <t>EVI-S004</t>
  </si>
  <si>
    <t>EVI-C001</t>
  </si>
  <si>
    <t>EVI-C002</t>
  </si>
  <si>
    <t>EVI-Z001</t>
  </si>
  <si>
    <t>EVI-F001</t>
  </si>
  <si>
    <t>EVI-F002</t>
  </si>
  <si>
    <t>Consultar</t>
  </si>
  <si>
    <t>VOLUMEN ANUAL</t>
  </si>
  <si>
    <t>(*) Precios sin impuestos incluidos</t>
  </si>
  <si>
    <t>Precio unitario (*)</t>
  </si>
  <si>
    <t>EVI-F003</t>
  </si>
  <si>
    <t>EVI-S005</t>
  </si>
  <si>
    <t>EVI-F004</t>
  </si>
  <si>
    <t>Coste Licencia</t>
  </si>
  <si>
    <t>Módulo eviSEAL</t>
  </si>
  <si>
    <t>Módulo eviMAIL</t>
  </si>
  <si>
    <t>Módulo eviSIGN</t>
  </si>
  <si>
    <t>Módulo eviSMS</t>
  </si>
  <si>
    <t>Coste anual</t>
  </si>
  <si>
    <t>Servicio de Notario y Auditoría de Integridad</t>
  </si>
  <si>
    <t>Coste hora</t>
  </si>
  <si>
    <t xml:space="preserve">Servicios Profesionales </t>
  </si>
  <si>
    <t>Mantenimiento Licencia (anual)</t>
  </si>
  <si>
    <t>Licencia Plugin Lotus Corporativa</t>
  </si>
  <si>
    <t>Burofax a dirección postal con envío online. Incluye primera página</t>
  </si>
  <si>
    <t>Envío masivo (SMPP)</t>
  </si>
  <si>
    <t>EVI-S006</t>
  </si>
  <si>
    <t>Certificación avanzada</t>
  </si>
  <si>
    <t>Cada segmento SMS de 160 caracteres adicional</t>
  </si>
  <si>
    <t>Añadir a eviSMS</t>
  </si>
  <si>
    <t>Añadir a eviNotice, eviMail o eviSign</t>
  </si>
  <si>
    <t>Cada año de depósito notarial</t>
  </si>
  <si>
    <t>EVI-F005</t>
  </si>
  <si>
    <t>Cada página impresa con envío postal adicional</t>
  </si>
  <si>
    <t>Añadir a eviPost</t>
  </si>
  <si>
    <t>Añadir a eviNotice, eviMail, eviSMS o eviSign si se escoge como opción</t>
  </si>
  <si>
    <t>Servicio de protocolización notarial de procesos</t>
  </si>
  <si>
    <t>Certificación estándar</t>
  </si>
  <si>
    <t>Consultoría legal y modificación de contratos</t>
  </si>
  <si>
    <t>75 €/hora</t>
  </si>
  <si>
    <t>4 días</t>
  </si>
  <si>
    <t>6 horas díarías</t>
  </si>
  <si>
    <t>Duración :</t>
  </si>
  <si>
    <t>Horario :</t>
  </si>
  <si>
    <t>Precio :</t>
  </si>
  <si>
    <t>Cada megabyte/año de custodía online</t>
  </si>
  <si>
    <t>Correo electrónico. Incluye seguimiento, trazas, alertas, sin custodia online finalizado el periodo de seguimiento.</t>
  </si>
  <si>
    <t>SMS a móvil. Incluye seguimiento, trazas, alertas y primer segmento SMS (160 caracteres), sin custodia online finalizado el periodo de seguimiento.</t>
  </si>
  <si>
    <t>Firma de contrato en Web. Incluye seguimiento, trazas, alertas, sin custodia online finalizado el periodo de seguimiento</t>
  </si>
  <si>
    <t>Notificación con enlace seguro. Incluye seguimiento, trazas, alertas, primer Mb de datos, SMS/email con enlace https, sin custodia online</t>
  </si>
  <si>
    <t>Cada megabyte/año de depósito notarial</t>
  </si>
  <si>
    <t>Custodia online por tercero de confianza a añadir a eviNotice, eviMail, eviSMS o eviSign. Mínimo 1 Mb 1 año</t>
  </si>
  <si>
    <t>EVI-F006</t>
  </si>
  <si>
    <t>EVI-F007</t>
  </si>
  <si>
    <t>EVI-F008</t>
  </si>
  <si>
    <t>EVI-F009</t>
  </si>
  <si>
    <t>Depósito notarial (offline) a añadir a eviNotice, eviMail, eviSMS o eviSign si se escoge como opción. Mínimo 1Mb 1 año</t>
  </si>
  <si>
    <t>Años de custodia online</t>
  </si>
  <si>
    <t>DESCRIPCION</t>
  </si>
  <si>
    <t>NOTAS</t>
  </si>
  <si>
    <t>Precio prepago</t>
  </si>
  <si>
    <t>Cuota mensual
mínima contrato anual</t>
  </si>
  <si>
    <t>Niveles certificación</t>
  </si>
  <si>
    <t>Tipos de firma</t>
  </si>
  <si>
    <t>Solo seguimiento</t>
  </si>
  <si>
    <t>Tipos de mensaje</t>
  </si>
  <si>
    <t>eviNotice</t>
  </si>
  <si>
    <t>eviSign</t>
  </si>
  <si>
    <t>USD</t>
  </si>
  <si>
    <t>€</t>
  </si>
  <si>
    <t>Descuento por compromiso anual y rappel</t>
  </si>
  <si>
    <t>Firma de acuerdo/contrato</t>
  </si>
  <si>
    <t>COSTE</t>
  </si>
  <si>
    <t>Descuento máximo por rappel</t>
  </si>
  <si>
    <t xml:space="preserve">Margen final </t>
  </si>
  <si>
    <t>Margen aplicando rappel</t>
  </si>
  <si>
    <t>Mínimo</t>
  </si>
  <si>
    <t>ç</t>
  </si>
  <si>
    <t>MARGEN</t>
  </si>
  <si>
    <t>Años de depósito notarial offline</t>
  </si>
  <si>
    <t>Firma del acuse de recibo</t>
  </si>
  <si>
    <t>Cada megabyte de datos</t>
  </si>
  <si>
    <t>FECHA</t>
  </si>
  <si>
    <t>CAMBIO</t>
  </si>
  <si>
    <t>Versión inicial</t>
  </si>
  <si>
    <t>Correcciones en el cálculo del margen mínimo</t>
  </si>
  <si>
    <t>Tipo de servicio</t>
  </si>
  <si>
    <t>Certificación</t>
  </si>
  <si>
    <t>Tamaño y custodia</t>
  </si>
  <si>
    <t>EUR</t>
  </si>
  <si>
    <t>COP</t>
  </si>
  <si>
    <t>CRC</t>
  </si>
  <si>
    <t>MXN</t>
  </si>
  <si>
    <t>Precio Unitario
(seleccionar moneda)</t>
  </si>
  <si>
    <t>SMS masivo(*)</t>
  </si>
  <si>
    <t>Cuota mensual mínima</t>
  </si>
  <si>
    <t>Cambio moneda internacional. Correcciones de costes y márgenes.</t>
  </si>
  <si>
    <t>Firma avanzada PIN SMS a móvil</t>
  </si>
  <si>
    <t>Firma avanzada PIN email</t>
  </si>
  <si>
    <t>Firma avanzada digitalizada en tablet</t>
  </si>
  <si>
    <t>Firma electrónica avanzada mediante PIN a teléfono móvil. Utilizado por eviNotice  el acuse de recibo o eviSign para firmar el acuerdo</t>
  </si>
  <si>
    <t>Firma electrónica avanzada mediante PIN a dirección de email. Utilizado por eviNotice  el acuse de recibo o eviSign para firmar el acuerdo</t>
  </si>
  <si>
    <t>Firma electrónica avanzada mediante PIN a dirección postal. Utilizado por eviNotice  el acuse de recibo o eviSign para firmar el acuerdo</t>
  </si>
  <si>
    <t>Firma electrónica avanzada mediante digitalización y/o captura de datos biométricos en tablet a partir del trazo manuscrito</t>
  </si>
  <si>
    <t>Firma avanzada PIN postal</t>
  </si>
  <si>
    <t>Firma simple click web</t>
  </si>
  <si>
    <t>TOTAL</t>
  </si>
  <si>
    <r>
      <t xml:space="preserve">Número de megabytes
</t>
    </r>
    <r>
      <rPr>
        <sz val="9"/>
        <color theme="0"/>
        <rFont val="Segoe UI"/>
        <family val="2"/>
      </rPr>
      <t>(de 1 a 30 mb. Primer Mb incluido)</t>
    </r>
  </si>
  <si>
    <r>
      <t xml:space="preserve">Número de segmentos SMS de 160 carácteres
</t>
    </r>
    <r>
      <rPr>
        <sz val="9"/>
        <color theme="0"/>
        <rFont val="Segoe UI"/>
        <family val="2"/>
      </rPr>
      <t>(de 1 a 5. solo para eviSMS. Primer segmento inlcluido)</t>
    </r>
  </si>
  <si>
    <r>
      <t xml:space="preserve">Nivel de certificación </t>
    </r>
    <r>
      <rPr>
        <vertAlign val="superscript"/>
        <sz val="11"/>
        <color theme="0"/>
        <rFont val="Segoe UI"/>
        <family val="2"/>
      </rPr>
      <t>(1)</t>
    </r>
  </si>
  <si>
    <r>
      <t xml:space="preserve">PRECIO UNITARIO </t>
    </r>
    <r>
      <rPr>
        <vertAlign val="superscript"/>
        <sz val="11"/>
        <color theme="0"/>
        <rFont val="Segoe UI"/>
        <family val="2"/>
      </rPr>
      <t>(2)</t>
    </r>
  </si>
  <si>
    <r>
      <t xml:space="preserve">Compromiso contractual facturación anual </t>
    </r>
    <r>
      <rPr>
        <vertAlign val="superscript"/>
        <sz val="11"/>
        <color theme="0"/>
        <rFont val="Segoe UI"/>
        <family val="2"/>
      </rPr>
      <t>(2)</t>
    </r>
    <r>
      <rPr>
        <sz val="11"/>
        <color theme="0"/>
        <rFont val="Segoe UI"/>
        <family val="2"/>
      </rPr>
      <t xml:space="preserve">
</t>
    </r>
    <r>
      <rPr>
        <sz val="10"/>
        <color theme="0"/>
        <rFont val="Segoe UI"/>
        <family val="2"/>
      </rPr>
      <t>(se facturará aunque no se consuma. mínimo 2.000 €)</t>
    </r>
  </si>
  <si>
    <r>
      <t xml:space="preserve">TOTAL ESTIMADO ANUAL </t>
    </r>
    <r>
      <rPr>
        <vertAlign val="superscript"/>
        <sz val="11"/>
        <color theme="0"/>
        <rFont val="Segoe UI"/>
        <family val="2"/>
      </rPr>
      <t xml:space="preserve">(2)
</t>
    </r>
    <r>
      <rPr>
        <sz val="10"/>
        <color theme="0"/>
        <rFont val="Segoe UI"/>
        <family val="2"/>
      </rPr>
      <t>(según consumo)</t>
    </r>
  </si>
  <si>
    <r>
      <t xml:space="preserve">TOTAL ESTIMADO MENSUAL </t>
    </r>
    <r>
      <rPr>
        <vertAlign val="superscript"/>
        <sz val="11"/>
        <color theme="0"/>
        <rFont val="Segoe UI"/>
        <family val="2"/>
      </rPr>
      <t xml:space="preserve">(2)
</t>
    </r>
    <r>
      <rPr>
        <sz val="10"/>
        <color theme="0"/>
        <rFont val="Segoe UI"/>
        <family val="2"/>
      </rPr>
      <t>(según consumo)</t>
    </r>
  </si>
  <si>
    <t>Tipo de evidencia</t>
  </si>
  <si>
    <t>Configuración</t>
  </si>
  <si>
    <t>Evidencias anuales estimadas</t>
  </si>
  <si>
    <t>Evidencias anuales incluidas en la cuota</t>
  </si>
  <si>
    <t>Evidencias mensuales incluidas en la cuota</t>
  </si>
  <si>
    <r>
      <t xml:space="preserve">TOTAL UNIDAD ADICIONAL </t>
    </r>
    <r>
      <rPr>
        <vertAlign val="superscript"/>
        <sz val="12"/>
        <color theme="0"/>
        <rFont val="Segoe UI"/>
        <family val="2"/>
      </rPr>
      <t>(2)</t>
    </r>
    <r>
      <rPr>
        <sz val="12"/>
        <color theme="0"/>
        <rFont val="Segoe UI"/>
        <family val="2"/>
      </rPr>
      <t xml:space="preserve">
</t>
    </r>
    <r>
      <rPr>
        <sz val="10"/>
        <color theme="0"/>
        <rFont val="Segoe UI"/>
        <family val="2"/>
      </rPr>
      <t>(superado # evidencias mensuales incluidas)</t>
    </r>
  </si>
  <si>
    <t>Correo electrónico certificado (eviMail)</t>
  </si>
  <si>
    <t>SMS certificado (eviSMS)</t>
  </si>
  <si>
    <t>Notificación fehaciente electrónica (eviNotice)</t>
  </si>
  <si>
    <t>Firma digital de documentos (eviSign)</t>
  </si>
  <si>
    <t>Notificación fehaciente postal (eviPost)</t>
  </si>
  <si>
    <t>Tipo de firma</t>
  </si>
  <si>
    <t>Consumibles</t>
  </si>
  <si>
    <t>Uds</t>
  </si>
  <si>
    <r>
      <rPr>
        <vertAlign val="superscript"/>
        <sz val="11"/>
        <color theme="1" tint="0.249977111117893"/>
        <rFont val="Segoe UI"/>
        <family val="2"/>
      </rPr>
      <t>(1)</t>
    </r>
    <r>
      <rPr>
        <sz val="11"/>
        <color theme="1" tint="0.249977111117893"/>
        <rFont val="Segoe UI"/>
        <family val="2"/>
      </rPr>
      <t xml:space="preserve"> Nivel de certificación:
</t>
    </r>
    <r>
      <rPr>
        <b/>
        <sz val="11"/>
        <color theme="1" tint="0.249977111117893"/>
        <rFont val="Segoe UI"/>
        <family val="2"/>
      </rPr>
      <t>Certificación Estándar</t>
    </r>
    <r>
      <rPr>
        <sz val="11"/>
        <color theme="1" tint="0.249977111117893"/>
        <rFont val="Segoe UI"/>
        <family val="2"/>
      </rPr>
      <t xml:space="preserve">: Generación de un affidávit al finalizar el seguimiento.
</t>
    </r>
    <r>
      <rPr>
        <b/>
        <sz val="11"/>
        <color theme="1" tint="0.249977111117893"/>
        <rFont val="Segoe UI"/>
        <family val="2"/>
      </rPr>
      <t>Certificación Avanzada</t>
    </r>
    <r>
      <rPr>
        <sz val="11"/>
        <color theme="1" tint="0.249977111117893"/>
        <rFont val="Segoe UI"/>
        <family val="2"/>
      </rPr>
      <t xml:space="preserve">: Generación de varios affidavits (por cada evento) con firma electrónica avanzada de larga duración y sello de tiempo reconocido
</t>
    </r>
    <r>
      <rPr>
        <vertAlign val="superscript"/>
        <sz val="11"/>
        <color theme="1" tint="0.249977111117893"/>
        <rFont val="Segoe UI"/>
        <family val="2"/>
      </rPr>
      <t xml:space="preserve">(2) </t>
    </r>
    <r>
      <rPr>
        <sz val="11"/>
        <color theme="1" tint="0.249977111117893"/>
        <rFont val="Segoe UI"/>
        <family val="2"/>
      </rPr>
      <t>Impuestos no incluidos</t>
    </r>
  </si>
  <si>
    <t>Marzo 2014
v140303</t>
  </si>
  <si>
    <t>Generación de un affidávit (justificante) al cierre de la transacción.</t>
  </si>
  <si>
    <t>Varios affidavits (por cada evento) con firma-e avanzada de larga duración y sello de tiempo reconocido; asistencia a la firma y/o entrega.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</si>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</sst>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#,##0\ &quot;€&quot;;[Red]\-#,##0\ &quot;€&quot;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\ &quot;€&quot;"/>
    <numFmt numFmtId="166" formatCode="#,##0.0000\ &quot;€&quot;"/>
    <numFmt numFmtId="167" formatCode="_-* #,##0.0000\ &quot;€&quot;_-;\-* #,##0.0000\ &quot;€&quot;_-;_-* &quot;-&quot;??\ &quot;€&quot;_-;_-@_-"/>
    <numFmt numFmtId="168" formatCode="_-* #,##0\ _€_-;\-* #,##0\ _€_-;_-* &quot;-&quot;??\ _€_-;_-@_-"/>
    <numFmt numFmtId="169" formatCode="_-* #,##0\ &quot;€&quot;_-;\-* #,##0\ &quot;€&quot;_-;_-* &quot;-&quot;??\ &quot;€&quot;_-;_-@_-"/>
    <numFmt numFmtId="170" formatCode="_-* #,##0.0000\ [$€-C0A]_-;\-* #,##0.0000\ [$€-C0A]_-;_-* &quot;-&quot;??\ [$€-C0A]_-;_-@_-"/>
    <numFmt numFmtId="171" formatCode="_-* #,##0.0000\ [$€-C0A]_-;\-* #,##0.0000\ [$€-C0A]_-;_-* &quot;-&quot;????\ [$€-C0A]_-;_-@_-"/>
    <numFmt numFmtId="172" formatCode="0.0000%"/>
    <numFmt numFmtId="173" formatCode="0.00000000000%"/>
    <numFmt numFmtId="174" formatCode="_-* #,##0.0000\ _€_-;\-* #,##0.0000\ _€_-;_-* &quot;-&quot;??\ _€_-;_-@_-"/>
    <numFmt numFmtId="175" formatCode="_-* #,##0.0000\ _€_-;\-* #,##0.0000\ _€_-;_-* &quot;-&quot;????\ _€_-;_-@_-"/>
    <numFmt numFmtId="176" formatCode="#,##0.0000\ _€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3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9"/>
      <color theme="0"/>
      <name val="Arial"/>
      <family val="2"/>
    </font>
    <font>
      <strike/>
      <sz val="11"/>
      <name val="Calibri"/>
      <family val="2"/>
      <scheme val="minor"/>
    </font>
    <font>
      <strike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 tint="-0.3499862666707357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0" tint="-0.34998626667073579"/>
      <name val="Segoe UI"/>
      <family val="2"/>
    </font>
    <font>
      <sz val="11"/>
      <color theme="0"/>
      <name val="Segoe UI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sz val="9"/>
      <color theme="0"/>
      <name val="Segoe UI"/>
      <family val="2"/>
    </font>
    <font>
      <vertAlign val="superscript"/>
      <sz val="11"/>
      <color theme="0"/>
      <name val="Segoe UI"/>
      <family val="2"/>
    </font>
    <font>
      <i/>
      <sz val="11"/>
      <color theme="1"/>
      <name val="Segoe UI"/>
      <family val="2"/>
    </font>
    <font>
      <b/>
      <sz val="14"/>
      <name val="Segoe UI"/>
      <family val="2"/>
    </font>
    <font>
      <b/>
      <i/>
      <sz val="11"/>
      <name val="Segoe UI"/>
      <family val="2"/>
    </font>
    <font>
      <b/>
      <i/>
      <sz val="12"/>
      <color theme="0"/>
      <name val="Segoe UI"/>
      <family val="2"/>
    </font>
    <font>
      <sz val="11"/>
      <color theme="3"/>
      <name val="Segoe UI"/>
      <family val="2"/>
    </font>
    <font>
      <sz val="10"/>
      <color theme="3"/>
      <name val="Segoe UI"/>
      <family val="2"/>
    </font>
    <font>
      <b/>
      <sz val="14"/>
      <color theme="0"/>
      <name val="Segoe UI"/>
      <family val="2"/>
    </font>
    <font>
      <sz val="14"/>
      <name val="Segoe UI"/>
      <family val="2"/>
    </font>
    <font>
      <i/>
      <sz val="12"/>
      <name val="Segoe UI"/>
      <family val="2"/>
    </font>
    <font>
      <sz val="12"/>
      <color theme="0"/>
      <name val="Segoe UI"/>
      <family val="2"/>
    </font>
    <font>
      <vertAlign val="superscript"/>
      <sz val="12"/>
      <color theme="0"/>
      <name val="Segoe UI"/>
      <family val="2"/>
    </font>
    <font>
      <sz val="11"/>
      <color theme="1" tint="0.249977111117893"/>
      <name val="Segoe UI"/>
      <family val="2"/>
    </font>
    <font>
      <vertAlign val="superscript"/>
      <sz val="11"/>
      <color theme="1" tint="0.249977111117893"/>
      <name val="Segoe UI"/>
      <family val="2"/>
    </font>
    <font>
      <b/>
      <sz val="11"/>
      <color theme="1" tint="0.249977111117893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2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vertical="center"/>
    </xf>
    <xf numFmtId="9" fontId="2" fillId="3" borderId="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Border="1"/>
    <xf numFmtId="165" fontId="0" fillId="0" borderId="0" xfId="0" applyNumberFormat="1"/>
    <xf numFmtId="166" fontId="0" fillId="0" borderId="0" xfId="0" applyNumberFormat="1"/>
    <xf numFmtId="6" fontId="2" fillId="3" borderId="2" xfId="0" applyNumberFormat="1" applyFont="1" applyFill="1" applyBorder="1" applyAlignment="1">
      <alignment horizontal="center" vertical="center"/>
    </xf>
    <xf numFmtId="0" fontId="0" fillId="0" borderId="0" xfId="0"/>
    <xf numFmtId="164" fontId="2" fillId="3" borderId="2" xfId="0" applyNumberFormat="1" applyFont="1" applyFill="1" applyBorder="1" applyAlignment="1">
      <alignment horizontal="right" vertical="center"/>
    </xf>
    <xf numFmtId="9" fontId="2" fillId="5" borderId="2" xfId="1" applyFont="1" applyFill="1" applyBorder="1" applyAlignment="1">
      <alignment horizontal="center" vertical="center"/>
    </xf>
    <xf numFmtId="166" fontId="4" fillId="5" borderId="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169" fontId="10" fillId="3" borderId="2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0" fillId="0" borderId="0" xfId="0"/>
    <xf numFmtId="0" fontId="0" fillId="4" borderId="0" xfId="0" applyFill="1"/>
    <xf numFmtId="0" fontId="6" fillId="0" borderId="0" xfId="0" applyFont="1" applyAlignment="1"/>
    <xf numFmtId="164" fontId="2" fillId="3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  <protection locked="0"/>
    </xf>
    <xf numFmtId="14" fontId="0" fillId="0" borderId="0" xfId="0" applyNumberFormat="1"/>
    <xf numFmtId="0" fontId="5" fillId="4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 wrapText="1"/>
    </xf>
    <xf numFmtId="0" fontId="10" fillId="4" borderId="0" xfId="0" applyFont="1" applyFill="1" applyBorder="1" applyAlignment="1" applyProtection="1">
      <alignment horizontal="center" vertical="center"/>
    </xf>
    <xf numFmtId="167" fontId="2" fillId="0" borderId="0" xfId="2" applyNumberFormat="1" applyFont="1" applyFill="1" applyBorder="1" applyAlignment="1" applyProtection="1">
      <alignment horizontal="right" vertical="center"/>
    </xf>
    <xf numFmtId="0" fontId="2" fillId="4" borderId="14" xfId="0" applyFont="1" applyFill="1" applyBorder="1" applyAlignment="1" applyProtection="1">
      <alignment horizontal="left" vertical="center" wrapText="1"/>
    </xf>
    <xf numFmtId="0" fontId="10" fillId="4" borderId="14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left" vertical="center" wrapText="1"/>
    </xf>
    <xf numFmtId="0" fontId="13" fillId="4" borderId="0" xfId="0" applyFont="1" applyFill="1" applyBorder="1" applyAlignment="1" applyProtection="1">
      <alignment horizontal="center" vertical="center"/>
    </xf>
    <xf numFmtId="167" fontId="12" fillId="0" borderId="0" xfId="2" applyNumberFormat="1" applyFont="1" applyFill="1" applyBorder="1" applyAlignment="1" applyProtection="1">
      <alignment horizontal="right" vertical="center"/>
    </xf>
    <xf numFmtId="167" fontId="2" fillId="0" borderId="14" xfId="2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4" borderId="0" xfId="0" applyFont="1" applyFill="1" applyBorder="1" applyAlignment="1" applyProtection="1">
      <alignment horizontal="center" vertical="center"/>
    </xf>
    <xf numFmtId="44" fontId="2" fillId="4" borderId="0" xfId="2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44" fontId="2" fillId="4" borderId="14" xfId="2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44" fontId="12" fillId="4" borderId="0" xfId="2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4" fontId="0" fillId="5" borderId="2" xfId="3" applyNumberFormat="1" applyFont="1" applyFill="1" applyBorder="1"/>
    <xf numFmtId="174" fontId="0" fillId="0" borderId="0" xfId="3" applyNumberFormat="1" applyFont="1"/>
    <xf numFmtId="167" fontId="17" fillId="0" borderId="0" xfId="2" applyNumberFormat="1" applyFont="1" applyFill="1" applyBorder="1" applyAlignment="1" applyProtection="1">
      <alignment horizontal="right" vertical="center"/>
    </xf>
    <xf numFmtId="0" fontId="20" fillId="4" borderId="0" xfId="0" applyFont="1" applyFill="1" applyProtection="1"/>
    <xf numFmtId="0" fontId="20" fillId="0" borderId="0" xfId="0" applyFont="1" applyProtection="1"/>
    <xf numFmtId="44" fontId="20" fillId="0" borderId="0" xfId="2" applyFont="1" applyProtection="1"/>
    <xf numFmtId="0" fontId="21" fillId="0" borderId="0" xfId="0" applyFont="1" applyAlignment="1" applyProtection="1">
      <alignment horizontal="center" vertical="center" wrapText="1"/>
    </xf>
    <xf numFmtId="0" fontId="22" fillId="0" borderId="0" xfId="0" applyFont="1" applyProtection="1"/>
    <xf numFmtId="0" fontId="23" fillId="2" borderId="3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168" fontId="24" fillId="7" borderId="3" xfId="3" applyNumberFormat="1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vertical="center" wrapText="1"/>
    </xf>
    <xf numFmtId="0" fontId="24" fillId="7" borderId="2" xfId="0" applyFont="1" applyFill="1" applyBorder="1" applyAlignment="1" applyProtection="1">
      <alignment horizontal="left" vertical="center" wrapText="1"/>
      <protection locked="0"/>
    </xf>
    <xf numFmtId="167" fontId="25" fillId="3" borderId="2" xfId="2" applyNumberFormat="1" applyFont="1" applyFill="1" applyBorder="1" applyAlignment="1" applyProtection="1">
      <alignment horizontal="center" vertical="center" wrapText="1"/>
    </xf>
    <xf numFmtId="175" fontId="25" fillId="3" borderId="2" xfId="2" applyNumberFormat="1" applyFont="1" applyFill="1" applyBorder="1" applyAlignment="1" applyProtection="1">
      <alignment horizontal="center" vertical="center" wrapText="1"/>
    </xf>
    <xf numFmtId="167" fontId="26" fillId="3" borderId="2" xfId="2" applyNumberFormat="1" applyFont="1" applyFill="1" applyBorder="1" applyAlignment="1" applyProtection="1">
      <alignment horizontal="center" vertical="center" wrapText="1"/>
    </xf>
    <xf numFmtId="41" fontId="25" fillId="3" borderId="2" xfId="2" applyNumberFormat="1" applyFont="1" applyFill="1" applyBorder="1" applyAlignment="1" applyProtection="1">
      <alignment horizontal="left" vertical="center"/>
    </xf>
    <xf numFmtId="0" fontId="24" fillId="7" borderId="2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Protection="1"/>
    <xf numFmtId="0" fontId="24" fillId="7" borderId="2" xfId="0" quotePrefix="1" applyFont="1" applyFill="1" applyBorder="1" applyAlignment="1" applyProtection="1">
      <alignment horizontal="left" vertical="center"/>
      <protection locked="0"/>
    </xf>
    <xf numFmtId="0" fontId="24" fillId="7" borderId="2" xfId="0" applyFont="1" applyFill="1" applyBorder="1" applyAlignment="1" applyProtection="1">
      <alignment horizontal="left" vertical="center"/>
      <protection locked="0"/>
    </xf>
    <xf numFmtId="0" fontId="25" fillId="0" borderId="0" xfId="0" applyFont="1" applyProtection="1"/>
    <xf numFmtId="167" fontId="20" fillId="0" borderId="0" xfId="0" applyNumberFormat="1" applyFont="1" applyProtection="1"/>
    <xf numFmtId="0" fontId="29" fillId="0" borderId="0" xfId="0" applyFont="1" applyProtection="1"/>
    <xf numFmtId="176" fontId="30" fillId="3" borderId="2" xfId="2" applyNumberFormat="1" applyFont="1" applyFill="1" applyBorder="1" applyAlignment="1" applyProtection="1">
      <alignment horizontal="center" vertical="center"/>
    </xf>
    <xf numFmtId="170" fontId="31" fillId="3" borderId="2" xfId="2" applyNumberFormat="1" applyFont="1" applyFill="1" applyBorder="1" applyAlignment="1" applyProtection="1">
      <alignment horizontal="center" vertical="center" wrapText="1"/>
    </xf>
    <xf numFmtId="167" fontId="20" fillId="0" borderId="0" xfId="2" applyNumberFormat="1" applyFont="1" applyProtection="1"/>
    <xf numFmtId="168" fontId="32" fillId="7" borderId="3" xfId="3" applyNumberFormat="1" applyFont="1" applyFill="1" applyBorder="1" applyAlignment="1" applyProtection="1">
      <alignment vertical="center"/>
      <protection locked="0"/>
    </xf>
    <xf numFmtId="170" fontId="31" fillId="3" borderId="0" xfId="2" applyNumberFormat="1" applyFont="1" applyFill="1" applyBorder="1" applyAlignment="1" applyProtection="1">
      <alignment horizontal="center" vertical="center" wrapText="1"/>
    </xf>
    <xf numFmtId="9" fontId="20" fillId="0" borderId="0" xfId="1" applyFont="1" applyProtection="1"/>
    <xf numFmtId="41" fontId="30" fillId="3" borderId="2" xfId="2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left" vertical="center" wrapText="1"/>
    </xf>
    <xf numFmtId="0" fontId="33" fillId="0" borderId="0" xfId="0" applyFont="1" applyBorder="1" applyAlignment="1" applyProtection="1">
      <alignment horizontal="left" vertical="top" wrapText="1"/>
    </xf>
    <xf numFmtId="41" fontId="35" fillId="7" borderId="3" xfId="3" applyNumberFormat="1" applyFont="1" applyFill="1" applyBorder="1" applyAlignment="1" applyProtection="1">
      <alignment vertical="center"/>
      <protection locked="0"/>
    </xf>
    <xf numFmtId="168" fontId="24" fillId="7" borderId="3" xfId="3" applyNumberFormat="1" applyFont="1" applyFill="1" applyBorder="1" applyAlignment="1" applyProtection="1">
      <alignment vertical="center"/>
      <protection locked="0"/>
    </xf>
    <xf numFmtId="41" fontId="36" fillId="3" borderId="2" xfId="2" applyNumberFormat="1" applyFont="1" applyFill="1" applyBorder="1" applyAlignment="1" applyProtection="1">
      <alignment horizontal="center" vertical="center"/>
    </xf>
    <xf numFmtId="172" fontId="20" fillId="0" borderId="0" xfId="1" applyNumberFormat="1" applyFont="1" applyProtection="1"/>
    <xf numFmtId="0" fontId="22" fillId="2" borderId="3" xfId="0" applyFont="1" applyFill="1" applyBorder="1" applyAlignment="1" applyProtection="1">
      <alignment vertical="center" wrapText="1"/>
    </xf>
    <xf numFmtId="9" fontId="25" fillId="3" borderId="2" xfId="1" applyFont="1" applyFill="1" applyBorder="1" applyAlignment="1" applyProtection="1">
      <alignment horizontal="right" vertical="center" wrapText="1"/>
    </xf>
    <xf numFmtId="168" fontId="37" fillId="3" borderId="0" xfId="3" applyNumberFormat="1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horizontal="right" vertical="center" wrapText="1"/>
    </xf>
    <xf numFmtId="9" fontId="25" fillId="3" borderId="2" xfId="1" applyFont="1" applyFill="1" applyBorder="1" applyAlignment="1" applyProtection="1">
      <alignment horizontal="center" vertical="center" wrapText="1"/>
    </xf>
    <xf numFmtId="176" fontId="36" fillId="3" borderId="2" xfId="2" applyNumberFormat="1" applyFont="1" applyFill="1" applyBorder="1" applyAlignment="1" applyProtection="1">
      <alignment horizontal="center" vertical="center"/>
    </xf>
    <xf numFmtId="0" fontId="24" fillId="2" borderId="11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vertical="center" wrapText="1"/>
    </xf>
    <xf numFmtId="9" fontId="20" fillId="0" borderId="0" xfId="0" applyNumberFormat="1" applyFont="1" applyProtection="1"/>
    <xf numFmtId="171" fontId="20" fillId="0" borderId="0" xfId="0" applyNumberFormat="1" applyFont="1" applyProtection="1"/>
    <xf numFmtId="43" fontId="20" fillId="0" borderId="0" xfId="3" applyFont="1" applyProtection="1"/>
    <xf numFmtId="0" fontId="33" fillId="0" borderId="0" xfId="0" applyFont="1" applyBorder="1" applyAlignment="1" applyProtection="1">
      <alignment vertical="top" wrapText="1"/>
    </xf>
    <xf numFmtId="173" fontId="20" fillId="0" borderId="0" xfId="0" applyNumberFormat="1" applyFont="1" applyProtection="1"/>
    <xf numFmtId="0" fontId="22" fillId="2" borderId="12" xfId="0" applyFont="1" applyFill="1" applyBorder="1" applyAlignment="1" applyProtection="1">
      <alignment horizontal="right" vertical="center" wrapText="1"/>
    </xf>
    <xf numFmtId="0" fontId="22" fillId="2" borderId="6" xfId="0" applyFont="1" applyFill="1" applyBorder="1" applyAlignment="1" applyProtection="1">
      <alignment horizontal="right" vertical="center" wrapText="1"/>
    </xf>
    <xf numFmtId="0" fontId="22" fillId="2" borderId="11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right" vertical="center" wrapText="1"/>
    </xf>
    <xf numFmtId="0" fontId="22" fillId="2" borderId="0" xfId="0" applyFont="1" applyFill="1" applyBorder="1" applyAlignment="1" applyProtection="1">
      <alignment horizontal="right" vertical="center" wrapText="1"/>
    </xf>
    <xf numFmtId="0" fontId="38" fillId="2" borderId="12" xfId="0" applyFont="1" applyFill="1" applyBorder="1" applyAlignment="1" applyProtection="1">
      <alignment horizontal="right" vertical="center" wrapText="1"/>
    </xf>
    <xf numFmtId="0" fontId="38" fillId="2" borderId="6" xfId="0" applyFont="1" applyFill="1" applyBorder="1" applyAlignment="1" applyProtection="1">
      <alignment horizontal="right" vertical="center" wrapText="1"/>
    </xf>
    <xf numFmtId="0" fontId="40" fillId="0" borderId="0" xfId="0" applyFont="1" applyBorder="1" applyAlignment="1" applyProtection="1">
      <alignment horizontal="left"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10">
    <cellStyle name="Hipervínculo" xfId="4" builtinId="8" hidden="1"/>
    <cellStyle name="Hipervínculo" xfId="6" builtinId="8" hidden="1"/>
    <cellStyle name="Hipervínculo" xfId="8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3" builtinId="3"/>
    <cellStyle name="Moneda" xfId="2" builtinId="4"/>
    <cellStyle name="Normal" xfId="0" builtinId="0"/>
    <cellStyle name="Porcentaje" xfId="1" builtinId="5"/>
  </cellStyles>
  <dxfs count="12"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_-* #,##0.0000\ &quot;€&quot;_-;\-* #,##0.00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protection locked="1" hidden="0"/>
    </dxf>
    <dxf>
      <alignment vertical="center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'Precio Unitario y Rappel'!$D$3:$D$20</c:f>
              <c:numCache>
                <c:formatCode>#,##0.00\ "€"</c:formatCode>
                <c:ptCount val="18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1125</c:v>
                </c:pt>
                <c:pt idx="5">
                  <c:v>1687.5</c:v>
                </c:pt>
                <c:pt idx="6">
                  <c:v>2531.25</c:v>
                </c:pt>
                <c:pt idx="7">
                  <c:v>3796.875</c:v>
                </c:pt>
                <c:pt idx="8">
                  <c:v>5695.3125</c:v>
                </c:pt>
                <c:pt idx="9">
                  <c:v>8542.96875</c:v>
                </c:pt>
                <c:pt idx="10">
                  <c:v>12814.453125</c:v>
                </c:pt>
                <c:pt idx="11">
                  <c:v>19221.6796875</c:v>
                </c:pt>
                <c:pt idx="12">
                  <c:v>28832.51953125</c:v>
                </c:pt>
                <c:pt idx="13">
                  <c:v>43248.779296875</c:v>
                </c:pt>
                <c:pt idx="14">
                  <c:v>64873.1689453125</c:v>
                </c:pt>
                <c:pt idx="15">
                  <c:v>97309.75341796875</c:v>
                </c:pt>
                <c:pt idx="16">
                  <c:v>145964.63012695313</c:v>
                </c:pt>
                <c:pt idx="17">
                  <c:v>218946.94519042969</c:v>
                </c:pt>
              </c:numCache>
            </c:numRef>
          </c:xVal>
          <c:yVal>
            <c:numRef>
              <c:f>'Precio Unitario y Rappel'!$E$3:$E$20</c:f>
              <c:numCache>
                <c:formatCode>0%</c:formatCode>
                <c:ptCount val="1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0.30000000000000004</c:v>
                </c:pt>
                <c:pt idx="11">
                  <c:v>0.33000000000000007</c:v>
                </c:pt>
                <c:pt idx="12">
                  <c:v>0.3600000000000001</c:v>
                </c:pt>
                <c:pt idx="13">
                  <c:v>0.39000000000000012</c:v>
                </c:pt>
                <c:pt idx="14">
                  <c:v>0.42000000000000015</c:v>
                </c:pt>
                <c:pt idx="15">
                  <c:v>0.45000000000000018</c:v>
                </c:pt>
                <c:pt idx="16">
                  <c:v>0.4800000000000002</c:v>
                </c:pt>
                <c:pt idx="17">
                  <c:v>0.51000000000000023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A0-49C0-921F-9CAF982EC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70016"/>
        <c:axId val="186577280"/>
      </c:scatterChart>
      <c:valAx>
        <c:axId val="186870016"/>
        <c:scaling>
          <c:orientation val="minMax"/>
        </c:scaling>
        <c:delete val="0"/>
        <c:axPos val="b"/>
        <c:numFmt formatCode="#,##0\ &quot;€&quot;" sourceLinked="0"/>
        <c:majorTickMark val="out"/>
        <c:minorTickMark val="none"/>
        <c:tickLblPos val="nextTo"/>
        <c:crossAx val="186577280"/>
        <c:crosses val="autoZero"/>
        <c:crossBetween val="midCat"/>
        <c:dispUnits>
          <c:builtInUnit val="thousands"/>
          <c:dispUnitsLbl/>
        </c:dispUnits>
      </c:valAx>
      <c:valAx>
        <c:axId val="186577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6870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890329</xdr:colOff>
      <xdr:row>2</xdr:row>
      <xdr:rowOff>330729</xdr:rowOff>
    </xdr:from>
    <xdr:to>
      <xdr:col>18</xdr:col>
      <xdr:colOff>164046</xdr:colOff>
      <xdr:row>4</xdr:row>
      <xdr:rowOff>148979</xdr:rowOff>
    </xdr:to>
    <xdr:sp macro="" textlink="">
      <xdr:nvSpPr>
        <xdr:cNvPr id="2" name="Line Callout 1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34454" y="521229"/>
          <a:ext cx="2964655" cy="699313"/>
        </a:xfrm>
        <a:prstGeom prst="borderCallout1">
          <a:avLst>
            <a:gd name="adj1" fmla="val 47632"/>
            <a:gd name="adj2" fmla="val -788"/>
            <a:gd name="adj3" fmla="val 47566"/>
            <a:gd name="adj4" fmla="val -32745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4400"/>
            <a:t>1 </a:t>
          </a:r>
          <a:r>
            <a:rPr lang="es-ES" sz="2400" cap="none" baseline="40000"/>
            <a:t>TIPO DE EVIDENCIA</a:t>
          </a:r>
          <a:endParaRPr lang="es-ES" sz="1900" cap="none" baseline="40000"/>
        </a:p>
      </xdr:txBody>
    </xdr:sp>
    <xdr:clientData/>
  </xdr:twoCellAnchor>
  <xdr:twoCellAnchor>
    <xdr:from>
      <xdr:col>10</xdr:col>
      <xdr:colOff>890329</xdr:colOff>
      <xdr:row>16</xdr:row>
      <xdr:rowOff>79370</xdr:rowOff>
    </xdr:from>
    <xdr:to>
      <xdr:col>18</xdr:col>
      <xdr:colOff>235483</xdr:colOff>
      <xdr:row>18</xdr:row>
      <xdr:rowOff>109287</xdr:rowOff>
    </xdr:to>
    <xdr:sp macro="" textlink="">
      <xdr:nvSpPr>
        <xdr:cNvPr id="3" name="Line Callout 1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34454" y="6961183"/>
          <a:ext cx="3036092" cy="649042"/>
        </a:xfrm>
        <a:prstGeom prst="borderCallout1">
          <a:avLst>
            <a:gd name="adj1" fmla="val 52385"/>
            <a:gd name="adj2" fmla="val 98"/>
            <a:gd name="adj3" fmla="val 53866"/>
            <a:gd name="adj4" fmla="val -31394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4400"/>
            <a:t>3 </a:t>
          </a:r>
          <a:r>
            <a:rPr lang="es-ES" sz="2400" cap="none" baseline="40000"/>
            <a:t>CONSUMO ANUAL MÍNIMO</a:t>
          </a:r>
          <a:endParaRPr lang="es-ES" sz="1900" cap="none" baseline="40000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1690688</xdr:colOff>
      <xdr:row>2</xdr:row>
      <xdr:rowOff>373063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0"/>
          <a:ext cx="1690688" cy="563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714376</xdr:colOff>
      <xdr:row>1</xdr:row>
      <xdr:rowOff>373063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0"/>
          <a:ext cx="1690688" cy="563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31751</xdr:colOff>
      <xdr:row>1</xdr:row>
      <xdr:rowOff>30691</xdr:rowOff>
    </xdr:from>
    <xdr:to>
      <xdr:col>17</xdr:col>
      <xdr:colOff>349250</xdr:colOff>
      <xdr:row>19</xdr:row>
      <xdr:rowOff>158750</xdr:rowOff>
    </xdr:to>
    <xdr:graphicFrame macro="">
      <xdr:nvGraphicFramePr>
        <xdr:cNvPr id="3" name="Chart 2" title="Descuentos aplicables para determinados productos por encima del mínimo estableci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0.2186</cdr:x>
      <cdr:y>0.4734</cdr:y>
    </cdr:from>
    <cdr:to>
      <cdr:x>0.7602</cdr:x>
      <cdr:y>0.70436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18165" y="1874309"/>
          <a:ext cx="3513667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rgbClr val="FF0000"/>
              </a:solidFill>
            </a:rPr>
            <a:t>DESCUENTO APLICABLE</a:t>
          </a:r>
          <a:r>
            <a:rPr lang="es-ES" sz="1400" b="1" baseline="0">
              <a:solidFill>
                <a:srgbClr val="FF0000"/>
              </a:solidFill>
            </a:rPr>
            <a:t> PARA DETERMINADOS PRODUCTOS</a:t>
          </a:r>
          <a:br>
            <a:rPr lang="es-ES" sz="1400" b="1" baseline="0">
              <a:solidFill>
                <a:srgbClr val="FF0000"/>
              </a:solidFill>
            </a:rPr>
          </a:br>
          <a:r>
            <a:rPr lang="es-ES" sz="1400" b="1" baseline="0">
              <a:solidFill>
                <a:srgbClr val="FF0000"/>
              </a:solidFill>
            </a:rPr>
            <a:t>PUEDE EXISTIR UN DESCUENTO MÍNIMO</a:t>
          </a:r>
          <a:br>
            <a:rPr lang="es-ES" sz="1400" b="1" baseline="0">
              <a:solidFill>
                <a:srgbClr val="FF0000"/>
              </a:solidFill>
            </a:rPr>
          </a:br>
          <a:r>
            <a:rPr lang="es-ES" sz="1400" b="1" baseline="0">
              <a:solidFill>
                <a:srgbClr val="FF0000"/>
              </a:solidFill>
            </a:rPr>
            <a:t>CALCULAR EN "Contrato Anual Volumen"</a:t>
          </a:r>
          <a:endParaRPr lang="es-ES" sz="1400" b="1">
            <a:solidFill>
              <a:srgbClr val="FF0000"/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C4:H22" totalsRowShown="0" headerRowDxfId="9" dataDxfId="7" headerRowBorderDxfId="8">
  <tableColumns count="6">
    <tableColumn id="2" xr3:uid="{00000000-0010-0000-0000-000002000000}" name="DESCRIPCION" dataDxfId="6"/>
    <tableColumn id="1" xr3:uid="{00000000-0010-0000-0000-000001000000}" name="SKU" dataDxfId="5"/>
    <tableColumn id="3" xr3:uid="{00000000-0010-0000-0000-000003000000}" name="NOTAS" dataDxfId="4"/>
    <tableColumn id="4" xr3:uid="{00000000-0010-0000-0000-000004000000}" name="Créditos" dataDxfId="3"/>
    <tableColumn id="5" xr3:uid="{00000000-0010-0000-0000-000005000000}" name="Precio unitario (*)" dataDxfId="2">
      <calculatedColumnFormula>'Precio Unitario y Rappel'!$F$3*F5</calculatedColumnFormula>
    </tableColumn>
    <tableColumn id="6" xr3:uid="{00000000-0010-0000-0000-000006000000}" name="C" dataDxfId="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21" totalsRowShown="0">
  <autoFilter ref="A1:B21" xr:uid="{00000000-0009-0000-0100-000001000000}"/>
  <tableColumns count="2">
    <tableColumn id="1" xr3:uid="{00000000-0010-0000-0100-000001000000}" name="FECHA" dataDxfId="0"/>
    <tableColumn id="2" xr3:uid="{00000000-0010-0000-0100-000002000000}" name="CAMBI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O29"/>
  <sheetViews>
    <sheetView showGridLines="0" tabSelected="1" topLeftCell="B1" zoomScale="80" zoomScaleNormal="80" zoomScalePageLayoutView="80" workbookViewId="0">
      <selection activeCell="C38" sqref="C38"/>
    </sheetView>
  </sheetViews>
  <sheetFormatPr baseColWidth="10" defaultColWidth="9.1796875" defaultRowHeight="16.5" x14ac:dyDescent="0.45"/>
  <cols>
    <col min="1" max="1" width="4" style="57" customWidth="1"/>
    <col min="2" max="2" width="58.26953125" style="57" customWidth="1"/>
    <col min="3" max="3" width="29.7265625" style="57" customWidth="1"/>
    <col min="4" max="4" width="20.81640625" style="57" customWidth="1"/>
    <col min="5" max="5" width="24.453125" style="57" customWidth="1"/>
    <col min="6" max="6" width="12.453125" style="57" hidden="1" customWidth="1"/>
    <col min="7" max="7" width="11.81640625" style="57" customWidth="1"/>
    <col min="8" max="8" width="26.81640625" style="57" hidden="1" customWidth="1"/>
    <col min="9" max="9" width="13.453125" style="57" hidden="1" customWidth="1"/>
    <col min="10" max="10" width="3.26953125" style="57" customWidth="1"/>
    <col min="11" max="11" width="18.81640625" style="57" customWidth="1"/>
    <col min="12" max="12" width="31.453125" style="57" hidden="1" customWidth="1"/>
    <col min="13" max="13" width="23" style="57" hidden="1" customWidth="1"/>
    <col min="14" max="14" width="35.453125" style="57" hidden="1" customWidth="1"/>
    <col min="15" max="16384" width="9.1796875" style="57"/>
  </cols>
  <sheetData>
    <row r="1" spans="1:14" ht="15" customHeight="1" x14ac:dyDescent="0.45">
      <c r="A1" s="56"/>
      <c r="M1" s="58"/>
    </row>
    <row r="2" spans="1:14" ht="40.5" hidden="1" customHeight="1" x14ac:dyDescent="0.45">
      <c r="A2" s="56"/>
      <c r="C2" s="59"/>
      <c r="D2" s="60">
        <f>HLOOKUP(E3,Cambios!B1:F2,2,FALSE)</f>
        <v>1</v>
      </c>
      <c r="E2" s="61" t="s">
        <v>107</v>
      </c>
      <c r="F2" s="62" t="s">
        <v>86</v>
      </c>
      <c r="L2" s="57" t="s">
        <v>80</v>
      </c>
      <c r="M2" s="58">
        <v>3</v>
      </c>
    </row>
    <row r="3" spans="1:14" ht="34.5" customHeight="1" x14ac:dyDescent="0.45">
      <c r="A3" s="56"/>
      <c r="B3" s="28" t="s">
        <v>143</v>
      </c>
      <c r="C3" s="63" t="s">
        <v>129</v>
      </c>
      <c r="D3" s="63" t="s">
        <v>10</v>
      </c>
      <c r="E3" s="64" t="s">
        <v>103</v>
      </c>
      <c r="F3" s="62" t="s">
        <v>83</v>
      </c>
      <c r="L3" s="57" t="s">
        <v>81</v>
      </c>
      <c r="M3" s="58">
        <v>3</v>
      </c>
    </row>
    <row r="4" spans="1:14" ht="34.5" customHeight="1" x14ac:dyDescent="0.45">
      <c r="A4" s="56"/>
      <c r="B4" s="65" t="s">
        <v>128</v>
      </c>
      <c r="C4" s="66" t="s">
        <v>137</v>
      </c>
      <c r="D4" s="67" t="str">
        <f>VLOOKUP($C4,Table3[],2,FALSE)</f>
        <v>EVI-S005</v>
      </c>
      <c r="E4" s="68">
        <f>IFERROR(VLOOKUP($D4,Table3[[SKU]:[Precio unitario (*)]],4,FALSE),0)*$D$2</f>
        <v>0.22</v>
      </c>
      <c r="F4" s="69">
        <f>IFERROR(VLOOKUP($D4,Table3[[SKU]:[C]],5,FALSE),0)</f>
        <v>0.03</v>
      </c>
      <c r="G4" s="70" t="str">
        <f>$E$3</f>
        <v>EUR</v>
      </c>
    </row>
    <row r="5" spans="1:14" ht="34.5" customHeight="1" x14ac:dyDescent="0.45">
      <c r="A5" s="56"/>
      <c r="B5" s="65" t="s">
        <v>121</v>
      </c>
      <c r="C5" s="71">
        <v>1</v>
      </c>
      <c r="D5" s="67" t="str">
        <f>'SKUs y Créditos'!$D$20</f>
        <v>EVI-F001</v>
      </c>
      <c r="E5" s="68">
        <f>IFERROR(VLOOKUP($D5,Table3[[SKU]:[Precio unitario (*)]],4,FALSE),0)*IF(AND($C5&gt;1,$D$4 &lt;&gt; "EVI-S004",$D$4&lt;&gt;"EVI-S002"),MIN(30,$C5-1),0)*$D$2</f>
        <v>0</v>
      </c>
      <c r="F5" s="69">
        <f>IFERROR(VLOOKUP($D5,Table3[[SKU]:[C]],5,FALSE),0)*IF(AND($C5&gt;1,$D$4 &lt;&gt; "EVI-S004",$D$4&lt;&gt;"EVI-S002"),MIN(30,$C5),0)</f>
        <v>0</v>
      </c>
      <c r="G5" s="70" t="str">
        <f t="shared" ref="G5:G11" si="0">$E$3</f>
        <v>EUR</v>
      </c>
      <c r="L5" s="72" t="s">
        <v>79</v>
      </c>
      <c r="M5" s="72" t="s">
        <v>76</v>
      </c>
      <c r="N5" s="72" t="s">
        <v>77</v>
      </c>
    </row>
    <row r="6" spans="1:14" ht="34.5" customHeight="1" x14ac:dyDescent="0.45">
      <c r="A6" s="56"/>
      <c r="B6" s="65" t="s">
        <v>122</v>
      </c>
      <c r="C6" s="71">
        <v>1</v>
      </c>
      <c r="D6" s="67" t="str">
        <f>'SKUs y Créditos'!$D$13</f>
        <v>EVI-Z001</v>
      </c>
      <c r="E6" s="68">
        <f>IFERROR(VLOOKUP($D6,Table3[[SKU]:[Precio unitario (*)]],4,FALSE),0)*IF(AND($C6&gt;1, $D$4="EVI-S002"),$C6-1,0)*$D$2</f>
        <v>0</v>
      </c>
      <c r="F6" s="69">
        <f>IFERROR(VLOOKUP($D6,Table3[[SKU]:[C]],5,FALSE),0)*IF(AND($C6&gt;1, $D$4="EVI-S002"),$C6-1,0)</f>
        <v>0</v>
      </c>
      <c r="G6" s="70" t="str">
        <f t="shared" si="0"/>
        <v>EUR</v>
      </c>
      <c r="L6" s="57" t="str">
        <f>'SKUs y Créditos'!C5</f>
        <v>Correo electrónico certificado (eviMail)</v>
      </c>
      <c r="M6" s="57" t="s">
        <v>78</v>
      </c>
      <c r="N6" s="57" t="s">
        <v>119</v>
      </c>
    </row>
    <row r="7" spans="1:14" ht="34.5" customHeight="1" x14ac:dyDescent="0.45">
      <c r="A7" s="56"/>
      <c r="B7" s="65" t="s">
        <v>123</v>
      </c>
      <c r="C7" s="73" t="s">
        <v>41</v>
      </c>
      <c r="D7" s="67" t="str">
        <f>IFERROR(VLOOKUP($C7,Table3[],2,FALSE),"-")</f>
        <v>EVI-C002</v>
      </c>
      <c r="E7" s="68">
        <f>IFERROR(IF($D$4&lt;&gt;"EVI-S004",VLOOKUP($D7,Table3[[SKU]:[Precio unitario (*)]],4,FALSE),0),0)*$D$2</f>
        <v>0.5</v>
      </c>
      <c r="F7" s="69">
        <f>IFERROR(IF($D$4&lt;&gt;"EVI-S004",VLOOKUP($D7,Table3[[SKU]:[C]],5,FALSE),0),0)</f>
        <v>0.15</v>
      </c>
      <c r="G7" s="70" t="str">
        <f t="shared" si="0"/>
        <v>EUR</v>
      </c>
      <c r="L7" s="57" t="str">
        <f>'SKUs y Créditos'!C6</f>
        <v>SMS certificado (eviSMS)</v>
      </c>
      <c r="M7" s="57" t="str">
        <f>'SKUs y Créditos'!C11</f>
        <v>Certificación estándar</v>
      </c>
      <c r="N7" s="57" t="str">
        <f>'SKUs y Créditos'!C16</f>
        <v>Firma avanzada PIN SMS a móvil</v>
      </c>
    </row>
    <row r="8" spans="1:14" ht="34.5" customHeight="1" x14ac:dyDescent="0.45">
      <c r="A8" s="56"/>
      <c r="B8" s="65" t="s">
        <v>71</v>
      </c>
      <c r="C8" s="71">
        <v>2</v>
      </c>
      <c r="D8" s="67" t="str">
        <f>IFERROR(VLOOKUP('SKUs y Créditos'!$C$21,Table3[],2,FALSE),"-")</f>
        <v>EVI-F008</v>
      </c>
      <c r="E8" s="68">
        <f>IFERROR(VLOOKUP($D8,Table3[[SKU]:[Precio unitario (*)]],4,FALSE),0)*IF($D$4&lt;&gt;"EVI-S004",IF($D$4&lt;&gt;"EVI-S002",MIN(30,$C$5),1),0)*$C8*$D$2</f>
        <v>0.04</v>
      </c>
      <c r="F8" s="69">
        <f>IFERROR(VLOOKUP($D8,Table3[[SKU]:[C]],5,FALSE),0)*IF($D$4 &lt;&gt; "EVI-S004",IF($D$4&lt;&gt;"EVI-S002",MIN(30,$C$5),1),0)*$C8</f>
        <v>2.8319999999999999E-3</v>
      </c>
      <c r="G8" s="70" t="str">
        <f t="shared" si="0"/>
        <v>EUR</v>
      </c>
      <c r="L8" s="57" t="str">
        <f>'SKUs y Créditos'!C7</f>
        <v>Notificación fehaciente electrónica (eviNotice)</v>
      </c>
      <c r="M8" s="57" t="str">
        <f>'SKUs y Créditos'!C12</f>
        <v>Certificación avanzada</v>
      </c>
      <c r="N8" s="57" t="str">
        <f>'SKUs y Créditos'!C17</f>
        <v>Firma avanzada PIN email</v>
      </c>
    </row>
    <row r="9" spans="1:14" ht="34.5" customHeight="1" x14ac:dyDescent="0.45">
      <c r="A9" s="56"/>
      <c r="B9" s="65" t="s">
        <v>93</v>
      </c>
      <c r="C9" s="71">
        <v>0</v>
      </c>
      <c r="D9" s="67" t="str">
        <f>IFERROR(VLOOKUP('SKUs y Créditos'!$C$22,Table3[],2,FALSE),"-")</f>
        <v>EVI-F009</v>
      </c>
      <c r="E9" s="68">
        <f>IFERROR(VLOOKUP($D9,Table3[[SKU]:[Precio unitario (*)]],4,FALSE),0)*IF($D$4&lt;&gt;"EVI-S004",IF($D$4&lt;&gt;"EVI-S002",MIN(30,$C$5),1),0)*$C9*$D$2</f>
        <v>0</v>
      </c>
      <c r="F9" s="69">
        <f>IFERROR(VLOOKUP($D9,Table3[[SKU]:[C]],5,FALSE),0)*IF($D$4 &lt;&gt; "EVI-S004",IF($D$4&lt;&gt;"EVI-S002",MIN(30,$C$5),1),0)*$C9</f>
        <v>0</v>
      </c>
      <c r="G9" s="70" t="str">
        <f t="shared" si="0"/>
        <v>EUR</v>
      </c>
      <c r="L9" s="57" t="str">
        <f>'SKUs y Créditos'!C8</f>
        <v>Firma digital de documentos (eviSign)</v>
      </c>
      <c r="N9" s="57" t="str">
        <f>'SKUs y Créditos'!C18</f>
        <v>Firma avanzada digitalizada en tablet</v>
      </c>
    </row>
    <row r="10" spans="1:14" ht="34.5" customHeight="1" x14ac:dyDescent="0.45">
      <c r="A10" s="56"/>
      <c r="B10" s="65" t="s">
        <v>94</v>
      </c>
      <c r="C10" s="74" t="s">
        <v>119</v>
      </c>
      <c r="D10" s="67" t="str">
        <f>IFERROR(VLOOKUP($C10,Table3[],2,FALSE),"-")</f>
        <v>-</v>
      </c>
      <c r="E10" s="68">
        <f>IFERROR(IF($D$4&lt;&gt;"EVI-S003",VLOOKUP($D10,Table3[[SKU]:[Precio unitario (*)]],4,FALSE),0),0)*$D$2</f>
        <v>0</v>
      </c>
      <c r="F10" s="69">
        <f>IFERROR(IF($D$4&lt;&gt;"EVI-S003",VLOOKUP($D10,Table3[[SKU]:[C]],5,FALSE),0),0)</f>
        <v>0</v>
      </c>
      <c r="G10" s="70" t="str">
        <f t="shared" si="0"/>
        <v>EUR</v>
      </c>
    </row>
    <row r="11" spans="1:14" ht="34.5" customHeight="1" x14ac:dyDescent="0.45">
      <c r="A11" s="56"/>
      <c r="B11" s="65" t="s">
        <v>85</v>
      </c>
      <c r="C11" s="74" t="s">
        <v>119</v>
      </c>
      <c r="D11" s="67" t="str">
        <f>IFERROR(VLOOKUP($C11,Table3[],2,FALSE),"-")</f>
        <v>-</v>
      </c>
      <c r="E11" s="68">
        <f>IFERROR(IF($D$4&lt;&gt;"EVI-S003",VLOOKUP($D11,Table3[[SKU]:[Precio unitario (*)]],4,FALSE),0),0)*$D$2</f>
        <v>0</v>
      </c>
      <c r="F11" s="69">
        <f>IFERROR(IF($D$4&lt;&gt;"EVI-S003",VLOOKUP($D11,Table3[[SKU]:[C]],5,FALSE),0),0)</f>
        <v>0</v>
      </c>
      <c r="G11" s="70" t="str">
        <f t="shared" si="0"/>
        <v>EUR</v>
      </c>
    </row>
    <row r="12" spans="1:14" ht="34.5" customHeight="1" x14ac:dyDescent="0.45">
      <c r="B12" s="75"/>
      <c r="E12" s="76"/>
      <c r="F12" s="77"/>
    </row>
    <row r="13" spans="1:14" ht="34.5" customHeight="1" x14ac:dyDescent="0.45">
      <c r="A13" s="56"/>
      <c r="C13" s="104" t="s">
        <v>124</v>
      </c>
      <c r="D13" s="105"/>
      <c r="E13" s="78">
        <f>SUM(E4:E11)</f>
        <v>0.76</v>
      </c>
      <c r="F13" s="79">
        <f>SUM(F4:F11)</f>
        <v>0.18283199999999999</v>
      </c>
      <c r="G13" s="70" t="str">
        <f>$E$3</f>
        <v>EUR</v>
      </c>
      <c r="H13" s="80"/>
    </row>
    <row r="14" spans="1:14" ht="34.5" hidden="1" customHeight="1" x14ac:dyDescent="0.45">
      <c r="A14" s="56"/>
      <c r="C14" s="104" t="s">
        <v>130</v>
      </c>
      <c r="D14" s="105"/>
      <c r="E14" s="81">
        <v>600000</v>
      </c>
      <c r="F14" s="82"/>
      <c r="G14" s="66" t="s">
        <v>141</v>
      </c>
      <c r="H14" s="83"/>
    </row>
    <row r="15" spans="1:14" ht="34.5" hidden="1" customHeight="1" x14ac:dyDescent="0.45">
      <c r="A15" s="56"/>
      <c r="C15" s="104" t="s">
        <v>120</v>
      </c>
      <c r="D15" s="105"/>
      <c r="E15" s="84">
        <f>E13*E14</f>
        <v>456000</v>
      </c>
      <c r="F15" s="82"/>
      <c r="G15" s="70" t="str">
        <f>$E$3</f>
        <v>EUR</v>
      </c>
    </row>
    <row r="16" spans="1:14" ht="75.75" hidden="1" customHeight="1" x14ac:dyDescent="0.45">
      <c r="A16" s="56"/>
      <c r="B16" s="112" t="s">
        <v>142</v>
      </c>
      <c r="C16" s="112"/>
      <c r="D16" s="112"/>
      <c r="E16" s="112"/>
      <c r="F16" s="112"/>
      <c r="G16" s="112"/>
      <c r="H16" s="85"/>
    </row>
    <row r="17" spans="1:15" ht="14.25" hidden="1" customHeight="1" x14ac:dyDescent="0.45">
      <c r="A17" s="56"/>
      <c r="B17" s="86"/>
      <c r="C17" s="86"/>
      <c r="D17" s="86"/>
      <c r="E17" s="86"/>
      <c r="F17" s="86"/>
      <c r="G17" s="86"/>
      <c r="H17" s="85"/>
    </row>
    <row r="18" spans="1:15" ht="34.5" hidden="1" customHeight="1" x14ac:dyDescent="0.45">
      <c r="B18" s="75"/>
      <c r="C18" s="108" t="s">
        <v>125</v>
      </c>
      <c r="D18" s="105"/>
      <c r="E18" s="87">
        <v>345000</v>
      </c>
      <c r="G18" s="88" t="str">
        <f>$E$3</f>
        <v>EUR</v>
      </c>
    </row>
    <row r="19" spans="1:15" ht="34.5" hidden="1" customHeight="1" x14ac:dyDescent="0.45">
      <c r="A19" s="56"/>
      <c r="C19" s="108" t="s">
        <v>109</v>
      </c>
      <c r="D19" s="105"/>
      <c r="E19" s="89">
        <f>E18/12</f>
        <v>28750</v>
      </c>
      <c r="G19" s="70" t="str">
        <f>$E$3</f>
        <v>EUR</v>
      </c>
      <c r="I19" s="90"/>
    </row>
    <row r="20" spans="1:15" ht="34.5" hidden="1" customHeight="1" x14ac:dyDescent="0.45">
      <c r="A20" s="56"/>
      <c r="B20" s="91" t="s">
        <v>87</v>
      </c>
      <c r="C20" s="92">
        <f>IFERROR(VLOOKUP($E$18/$D$2,'Precio Unitario y Rappel'!$C$3:$F$20,3,TRUE),0)</f>
        <v>0.33000000000000007</v>
      </c>
      <c r="M20" s="58"/>
    </row>
    <row r="21" spans="1:15" ht="12.75" hidden="1" customHeight="1" x14ac:dyDescent="0.45">
      <c r="A21" s="56"/>
      <c r="M21" s="58"/>
    </row>
    <row r="22" spans="1:15" ht="33.75" hidden="1" customHeight="1" x14ac:dyDescent="0.45">
      <c r="C22" s="108" t="s">
        <v>131</v>
      </c>
      <c r="D22" s="109"/>
      <c r="E22" s="93">
        <f>ROUNDDOWN($E$18/$E$26,0)</f>
        <v>677533</v>
      </c>
      <c r="G22" s="93" t="s">
        <v>141</v>
      </c>
      <c r="H22" s="106" t="s">
        <v>92</v>
      </c>
      <c r="I22" s="107"/>
    </row>
    <row r="23" spans="1:15" ht="33.75" hidden="1" customHeight="1" x14ac:dyDescent="0.45">
      <c r="C23" s="108" t="s">
        <v>132</v>
      </c>
      <c r="D23" s="109"/>
      <c r="E23" s="93">
        <f>ROUNDDOWN(E22/12,0)</f>
        <v>56461</v>
      </c>
      <c r="G23" s="93" t="s">
        <v>141</v>
      </c>
      <c r="H23" s="94" t="s">
        <v>90</v>
      </c>
      <c r="I23" s="95">
        <f>IF(OR($D$4="EVI-S004",$D$4="EVI-S003"),10%,50%)</f>
        <v>0.5</v>
      </c>
    </row>
    <row r="24" spans="1:15" ht="11.25" hidden="1" customHeight="1" x14ac:dyDescent="0.45">
      <c r="A24" s="56"/>
      <c r="M24" s="58"/>
    </row>
    <row r="25" spans="1:15" ht="33.75" hidden="1" customHeight="1" x14ac:dyDescent="0.45">
      <c r="A25" s="56"/>
      <c r="C25" s="94" t="s">
        <v>84</v>
      </c>
      <c r="D25" s="92">
        <f>IF($I$25&lt;$I$23,($E$13-$F$13/(1-$I$23))/$E$13,$C$20)</f>
        <v>0.33000000000000007</v>
      </c>
      <c r="E25" s="96">
        <f>E13*$D$25</f>
        <v>0.25080000000000008</v>
      </c>
      <c r="G25" s="70" t="str">
        <f>$E$3</f>
        <v>EUR</v>
      </c>
      <c r="H25" s="94" t="s">
        <v>89</v>
      </c>
      <c r="I25" s="95">
        <f>1-F13/(E13*(1-$C$20))</f>
        <v>0.640942655145326</v>
      </c>
      <c r="K25" s="97" t="str">
        <f>IF($K$26&gt;0,"MARGEN OK",IF($K$26&gt;-$I$23,"¡CONSULTAR!","¡¡NO OFERTAR!!"))</f>
        <v>MARGEN OK</v>
      </c>
      <c r="L25" s="98"/>
      <c r="O25" s="99"/>
    </row>
    <row r="26" spans="1:15" ht="33.75" hidden="1" customHeight="1" x14ac:dyDescent="0.45">
      <c r="A26" s="56"/>
      <c r="C26" s="110" t="s">
        <v>133</v>
      </c>
      <c r="D26" s="111"/>
      <c r="E26" s="78">
        <f>E13-E25</f>
        <v>0.50919999999999987</v>
      </c>
      <c r="G26" s="70" t="str">
        <f>$E$3</f>
        <v>EUR</v>
      </c>
      <c r="H26" s="94" t="s">
        <v>88</v>
      </c>
      <c r="I26" s="95">
        <f>1-$F$13/$E$26</f>
        <v>0.64094265514532589</v>
      </c>
      <c r="K26" s="95">
        <f>I26-I23</f>
        <v>0.14094265514532589</v>
      </c>
      <c r="L26" s="100"/>
      <c r="O26" s="101"/>
    </row>
    <row r="27" spans="1:15" ht="33.75" hidden="1" customHeight="1" x14ac:dyDescent="0.45">
      <c r="A27" s="56"/>
      <c r="B27" s="102"/>
      <c r="C27" s="104" t="s">
        <v>126</v>
      </c>
      <c r="D27" s="105"/>
      <c r="E27" s="84">
        <f>$E$18+IF($E$14&gt;$E$22,$E$14-$E$22,0)*E26</f>
        <v>345000</v>
      </c>
      <c r="G27" s="70" t="str">
        <f>$E$3</f>
        <v>EUR</v>
      </c>
      <c r="K27" s="103"/>
      <c r="L27" s="100"/>
    </row>
    <row r="28" spans="1:15" ht="33.75" hidden="1" customHeight="1" x14ac:dyDescent="0.45">
      <c r="A28" s="56"/>
      <c r="B28" s="102"/>
      <c r="C28" s="104" t="s">
        <v>127</v>
      </c>
      <c r="D28" s="105"/>
      <c r="E28" s="84">
        <f>E27/12</f>
        <v>28750</v>
      </c>
      <c r="G28" s="70" t="str">
        <f>$E$3</f>
        <v>EUR</v>
      </c>
      <c r="L28" s="100"/>
    </row>
    <row r="29" spans="1:15" ht="30.75" hidden="1" customHeight="1" x14ac:dyDescent="0.45">
      <c r="B29" s="102"/>
    </row>
  </sheetData>
  <sheetProtection password="A8E1" sheet="1" objects="1" scenarios="1"/>
  <mergeCells count="12">
    <mergeCell ref="C28:D28"/>
    <mergeCell ref="H22:I22"/>
    <mergeCell ref="C13:D13"/>
    <mergeCell ref="C18:D18"/>
    <mergeCell ref="C19:D19"/>
    <mergeCell ref="C22:D22"/>
    <mergeCell ref="C26:D26"/>
    <mergeCell ref="C27:D27"/>
    <mergeCell ref="C14:D14"/>
    <mergeCell ref="C15:D15"/>
    <mergeCell ref="C23:D23"/>
    <mergeCell ref="B16:G16"/>
  </mergeCells>
  <conditionalFormatting sqref="I25">
    <cfRule type="cellIs" dxfId="11" priority="4" operator="lessThan">
      <formula>0.1</formula>
    </cfRule>
  </conditionalFormatting>
  <conditionalFormatting sqref="K26">
    <cfRule type="iconSet" priority="3">
      <iconSet iconSet="3Symbols2" showValue="0">
        <cfvo type="percent" val="0"/>
        <cfvo type="num" val="-$I$23" gte="0"/>
        <cfvo type="num" val="0" gte="0"/>
      </iconSet>
    </cfRule>
  </conditionalFormatting>
  <conditionalFormatting sqref="I23">
    <cfRule type="cellIs" dxfId="10" priority="2" operator="lessThan">
      <formula>0.1</formula>
    </cfRule>
  </conditionalFormatting>
  <dataValidations count="7">
    <dataValidation type="whole" allowBlank="1" showInputMessage="1" showErrorMessage="1" errorTitle="Error: solo números enteros" error="Mínimo: 0_x000a_Máximo: 30" sqref="C5" xr:uid="{00000000-0002-0000-0000-000000000000}">
      <formula1>1</formula1>
      <formula2>30</formula2>
    </dataValidation>
    <dataValidation type="whole" allowBlank="1" showInputMessage="1" showErrorMessage="1" errorTitle="Indicar años completos" error="Elegir el número de años que se quiere hacer depósito notarial_x000a_Mínimo: 0 años_x000a_Máximo: 30 años_x000a_" sqref="C8:C9" xr:uid="{00000000-0002-0000-0000-000001000000}">
      <formula1>0</formula1>
      <formula2>30</formula2>
    </dataValidation>
    <dataValidation type="whole" allowBlank="1" showInputMessage="1" showErrorMessage="1" errorTitle="Error: solo números enteros" error="Mínimo: 0_x000a_Máximo: 30" sqref="C6" xr:uid="{00000000-0002-0000-0000-000002000000}">
      <formula1>1</formula1>
      <formula2>5</formula2>
    </dataValidation>
    <dataValidation type="list" showInputMessage="1" showErrorMessage="1" sqref="C7" xr:uid="{00000000-0002-0000-0000-000003000000}">
      <formula1>$M$6:$M$8</formula1>
    </dataValidation>
    <dataValidation type="list" allowBlank="1" showInputMessage="1" showErrorMessage="1" sqref="C10:C11" xr:uid="{00000000-0002-0000-0000-000004000000}">
      <formula1>$N$6:$N$9</formula1>
    </dataValidation>
    <dataValidation type="whole" allowBlank="1" showInputMessage="1" showErrorMessage="1" sqref="E18" xr:uid="{00000000-0002-0000-0000-000005000000}">
      <formula1>2000</formula1>
      <formula2>10000000000</formula2>
    </dataValidation>
    <dataValidation type="list" allowBlank="1" showInputMessage="1" showErrorMessage="1" sqref="C4" xr:uid="{00000000-0002-0000-0000-000006000000}">
      <formula1>$L$6:$L$9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Cambios!$B$1:$F$1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2:J33"/>
  <sheetViews>
    <sheetView showGridLines="0" zoomScale="80" zoomScaleNormal="80" zoomScalePageLayoutView="80" workbookViewId="0">
      <selection activeCell="D5" sqref="D5"/>
    </sheetView>
  </sheetViews>
  <sheetFormatPr baseColWidth="10" defaultColWidth="8.81640625" defaultRowHeight="14.5" x14ac:dyDescent="0.35"/>
  <cols>
    <col min="1" max="1" width="4" style="32" customWidth="1"/>
    <col min="2" max="2" width="14.7265625" style="32" customWidth="1"/>
    <col min="3" max="3" width="61.81640625" style="44" customWidth="1"/>
    <col min="4" max="4" width="10.7265625" style="32" bestFit="1" customWidth="1"/>
    <col min="5" max="5" width="73.81640625" style="32" customWidth="1"/>
    <col min="6" max="6" width="15.453125" style="31" hidden="1" customWidth="1"/>
    <col min="7" max="7" width="12.453125" style="31" customWidth="1"/>
    <col min="8" max="8" width="15.453125" style="32" hidden="1" customWidth="1"/>
    <col min="9" max="9" width="4.7265625" style="44" customWidth="1"/>
    <col min="10" max="10" width="19" style="32" customWidth="1"/>
    <col min="11" max="11" width="11.26953125" style="32" bestFit="1" customWidth="1"/>
    <col min="12" max="16384" width="8.81640625" style="32"/>
  </cols>
  <sheetData>
    <row r="2" spans="1:9" ht="30" customHeight="1" x14ac:dyDescent="0.35"/>
    <row r="3" spans="1:9" ht="21.75" customHeight="1" x14ac:dyDescent="0.35">
      <c r="A3" s="30"/>
      <c r="B3" s="30"/>
      <c r="C3" s="31"/>
      <c r="D3" s="31"/>
      <c r="E3" s="31"/>
      <c r="I3" s="32"/>
    </row>
    <row r="4" spans="1:9" ht="35.15" customHeight="1" x14ac:dyDescent="0.35">
      <c r="A4" s="30"/>
      <c r="B4" s="30"/>
      <c r="C4" s="27" t="s">
        <v>72</v>
      </c>
      <c r="D4" s="27" t="s">
        <v>10</v>
      </c>
      <c r="E4" s="27" t="s">
        <v>73</v>
      </c>
      <c r="F4" s="27" t="s">
        <v>4</v>
      </c>
      <c r="G4" s="27" t="s">
        <v>23</v>
      </c>
      <c r="H4" s="27" t="s">
        <v>146</v>
      </c>
      <c r="I4" s="32"/>
    </row>
    <row r="5" spans="1:9" ht="35.15" customHeight="1" x14ac:dyDescent="0.35">
      <c r="A5" s="30"/>
      <c r="B5" s="113" t="s">
        <v>100</v>
      </c>
      <c r="C5" s="33" t="s">
        <v>134</v>
      </c>
      <c r="D5" s="34" t="s">
        <v>11</v>
      </c>
      <c r="E5" s="33" t="s">
        <v>60</v>
      </c>
      <c r="F5" s="45">
        <v>10</v>
      </c>
      <c r="G5" s="46">
        <f>'Precio Unitario y Rappel'!$F$3*F5</f>
        <v>0.1</v>
      </c>
      <c r="H5" s="35">
        <v>0.03</v>
      </c>
      <c r="I5" s="32"/>
    </row>
    <row r="6" spans="1:9" ht="35.15" customHeight="1" x14ac:dyDescent="0.35">
      <c r="A6" s="30"/>
      <c r="B6" s="114"/>
      <c r="C6" s="33" t="s">
        <v>135</v>
      </c>
      <c r="D6" s="34" t="s">
        <v>12</v>
      </c>
      <c r="E6" s="33" t="s">
        <v>61</v>
      </c>
      <c r="F6" s="45">
        <v>16</v>
      </c>
      <c r="G6" s="46">
        <f>'Precio Unitario y Rappel'!$F$3*F6</f>
        <v>0.16</v>
      </c>
      <c r="H6" s="35">
        <f>0.03+0.06</f>
        <v>0.09</v>
      </c>
      <c r="I6" s="32"/>
    </row>
    <row r="7" spans="1:9" ht="34.5" customHeight="1" x14ac:dyDescent="0.35">
      <c r="A7" s="30"/>
      <c r="B7" s="114"/>
      <c r="C7" s="33" t="s">
        <v>136</v>
      </c>
      <c r="D7" s="34" t="s">
        <v>40</v>
      </c>
      <c r="E7" s="33" t="s">
        <v>63</v>
      </c>
      <c r="F7" s="45">
        <v>30</v>
      </c>
      <c r="G7" s="46">
        <f>'Precio Unitario y Rappel'!$F$3*F7</f>
        <v>0.3</v>
      </c>
      <c r="H7" s="35">
        <f>0.03+0.06</f>
        <v>0.09</v>
      </c>
      <c r="I7" s="32"/>
    </row>
    <row r="8" spans="1:9" ht="35.15" customHeight="1" x14ac:dyDescent="0.35">
      <c r="A8" s="30"/>
      <c r="B8" s="114"/>
      <c r="C8" s="33" t="s">
        <v>137</v>
      </c>
      <c r="D8" s="34" t="s">
        <v>25</v>
      </c>
      <c r="E8" s="33" t="s">
        <v>62</v>
      </c>
      <c r="F8" s="45">
        <v>22</v>
      </c>
      <c r="G8" s="46">
        <f>'Precio Unitario y Rappel'!$F$3*F8</f>
        <v>0.22</v>
      </c>
      <c r="H8" s="35">
        <v>0.03</v>
      </c>
      <c r="I8" s="32"/>
    </row>
    <row r="9" spans="1:9" ht="35.15" hidden="1" customHeight="1" x14ac:dyDescent="0.35">
      <c r="A9" s="30"/>
      <c r="B9" s="114"/>
      <c r="C9" s="33" t="s">
        <v>138</v>
      </c>
      <c r="D9" s="34" t="s">
        <v>13</v>
      </c>
      <c r="E9" s="33" t="s">
        <v>38</v>
      </c>
      <c r="F9" s="45">
        <f>ROUND(790*1.25,0)+100</f>
        <v>1088</v>
      </c>
      <c r="G9" s="46">
        <f>'Precio Unitario y Rappel'!$F$3*F9</f>
        <v>10.88</v>
      </c>
      <c r="H9" s="35">
        <f>7.36+0.03+1</f>
        <v>8.39</v>
      </c>
      <c r="I9" s="32"/>
    </row>
    <row r="10" spans="1:9" ht="34.5" hidden="1" customHeight="1" x14ac:dyDescent="0.35">
      <c r="A10" s="30"/>
      <c r="B10" s="115"/>
      <c r="C10" s="33" t="s">
        <v>108</v>
      </c>
      <c r="D10" s="34" t="s">
        <v>14</v>
      </c>
      <c r="E10" s="33" t="s">
        <v>39</v>
      </c>
      <c r="F10" s="45">
        <v>6</v>
      </c>
      <c r="G10" s="46">
        <f>'Precio Unitario y Rappel'!$F$3*F10</f>
        <v>0.06</v>
      </c>
      <c r="H10" s="35">
        <v>5.3999999999999999E-2</v>
      </c>
      <c r="I10" s="32"/>
    </row>
    <row r="11" spans="1:9" ht="34.5" customHeight="1" x14ac:dyDescent="0.35">
      <c r="A11" s="30"/>
      <c r="B11" s="113" t="s">
        <v>101</v>
      </c>
      <c r="C11" s="36" t="s">
        <v>51</v>
      </c>
      <c r="D11" s="37" t="s">
        <v>15</v>
      </c>
      <c r="E11" s="36" t="s">
        <v>144</v>
      </c>
      <c r="F11" s="47">
        <v>10</v>
      </c>
      <c r="G11" s="48">
        <f>'Precio Unitario y Rappel'!$F$3*F11</f>
        <v>0.1</v>
      </c>
      <c r="H11" s="35">
        <v>0.03</v>
      </c>
      <c r="I11" s="32"/>
    </row>
    <row r="12" spans="1:9" ht="34.5" customHeight="1" x14ac:dyDescent="0.35">
      <c r="A12" s="30"/>
      <c r="B12" s="115"/>
      <c r="C12" s="33" t="s">
        <v>41</v>
      </c>
      <c r="D12" s="34" t="s">
        <v>16</v>
      </c>
      <c r="E12" s="33" t="s">
        <v>145</v>
      </c>
      <c r="F12" s="45">
        <v>50</v>
      </c>
      <c r="G12" s="46">
        <f>'Precio Unitario y Rappel'!$F$3*F12</f>
        <v>0.5</v>
      </c>
      <c r="H12" s="35">
        <f>H11*5</f>
        <v>0.15</v>
      </c>
      <c r="I12" s="32"/>
    </row>
    <row r="13" spans="1:9" ht="34.5" customHeight="1" x14ac:dyDescent="0.35">
      <c r="A13" s="30"/>
      <c r="B13" s="113" t="s">
        <v>140</v>
      </c>
      <c r="C13" s="36" t="s">
        <v>42</v>
      </c>
      <c r="D13" s="37" t="s">
        <v>17</v>
      </c>
      <c r="E13" s="36" t="s">
        <v>43</v>
      </c>
      <c r="F13" s="47">
        <v>6</v>
      </c>
      <c r="G13" s="48">
        <f>'Precio Unitario y Rappel'!$F$3*F13</f>
        <v>0.06</v>
      </c>
      <c r="H13" s="35">
        <v>5.6000000000000001E-2</v>
      </c>
      <c r="I13" s="32"/>
    </row>
    <row r="14" spans="1:9" ht="35.15" hidden="1" customHeight="1" x14ac:dyDescent="0.35">
      <c r="A14" s="30"/>
      <c r="B14" s="114"/>
      <c r="C14" s="33" t="s">
        <v>47</v>
      </c>
      <c r="D14" s="34" t="s">
        <v>67</v>
      </c>
      <c r="E14" s="33" t="s">
        <v>48</v>
      </c>
      <c r="F14" s="45">
        <v>56</v>
      </c>
      <c r="G14" s="46">
        <f>'Precio Unitario y Rappel'!$F$3*F14</f>
        <v>0.56000000000000005</v>
      </c>
      <c r="H14" s="35">
        <v>0.5</v>
      </c>
      <c r="I14" s="32"/>
    </row>
    <row r="15" spans="1:9" ht="35.15" hidden="1" customHeight="1" x14ac:dyDescent="0.35">
      <c r="A15" s="30"/>
      <c r="B15" s="114"/>
      <c r="C15" s="38" t="s">
        <v>45</v>
      </c>
      <c r="D15" s="39" t="s">
        <v>19</v>
      </c>
      <c r="E15" s="38" t="s">
        <v>49</v>
      </c>
      <c r="F15" s="49">
        <v>12</v>
      </c>
      <c r="G15" s="50">
        <f>'Precio Unitario y Rappel'!$F$3*F15</f>
        <v>0.12</v>
      </c>
      <c r="H15" s="40" t="s">
        <v>91</v>
      </c>
      <c r="I15" s="32"/>
    </row>
    <row r="16" spans="1:9" ht="34.5" customHeight="1" x14ac:dyDescent="0.35">
      <c r="A16" s="30"/>
      <c r="B16" s="113" t="s">
        <v>139</v>
      </c>
      <c r="C16" s="36" t="s">
        <v>111</v>
      </c>
      <c r="D16" s="37" t="s">
        <v>24</v>
      </c>
      <c r="E16" s="36" t="s">
        <v>114</v>
      </c>
      <c r="F16" s="47">
        <v>6</v>
      </c>
      <c r="G16" s="48">
        <f>'Precio Unitario y Rappel'!$F$3*F16</f>
        <v>0.06</v>
      </c>
      <c r="H16" s="41">
        <v>0.06</v>
      </c>
      <c r="I16" s="32"/>
    </row>
    <row r="17" spans="1:10" ht="35.15" customHeight="1" x14ac:dyDescent="0.35">
      <c r="A17" s="30"/>
      <c r="B17" s="114"/>
      <c r="C17" s="33" t="s">
        <v>112</v>
      </c>
      <c r="D17" s="34" t="s">
        <v>26</v>
      </c>
      <c r="E17" s="33" t="s">
        <v>115</v>
      </c>
      <c r="F17" s="45">
        <v>3</v>
      </c>
      <c r="G17" s="46">
        <f>'Precio Unitario y Rappel'!$F$3*F17</f>
        <v>0.03</v>
      </c>
      <c r="H17" s="35">
        <v>0</v>
      </c>
      <c r="I17" s="32"/>
    </row>
    <row r="18" spans="1:10" ht="35.15" customHeight="1" x14ac:dyDescent="0.35">
      <c r="A18" s="30"/>
      <c r="B18" s="114"/>
      <c r="C18" s="33" t="s">
        <v>113</v>
      </c>
      <c r="D18" s="34" t="s">
        <v>66</v>
      </c>
      <c r="E18" s="33" t="s">
        <v>117</v>
      </c>
      <c r="F18" s="45">
        <v>12</v>
      </c>
      <c r="G18" s="46">
        <f>'Precio Unitario y Rappel'!$F$3*F18</f>
        <v>0.12</v>
      </c>
      <c r="H18" s="35">
        <v>0.02</v>
      </c>
      <c r="I18" s="32"/>
    </row>
    <row r="19" spans="1:10" ht="35.15" hidden="1" customHeight="1" x14ac:dyDescent="0.35">
      <c r="A19" s="30"/>
      <c r="B19" s="114"/>
      <c r="C19" s="33" t="s">
        <v>118</v>
      </c>
      <c r="D19" s="34" t="s">
        <v>46</v>
      </c>
      <c r="E19" s="33" t="s">
        <v>116</v>
      </c>
      <c r="F19" s="45">
        <v>250</v>
      </c>
      <c r="G19" s="46">
        <f>'Precio Unitario y Rappel'!$F$3*F19</f>
        <v>2.5</v>
      </c>
      <c r="H19" s="55"/>
      <c r="I19" s="32"/>
    </row>
    <row r="20" spans="1:10" ht="35.15" customHeight="1" x14ac:dyDescent="0.35">
      <c r="A20" s="30"/>
      <c r="B20" s="116" t="s">
        <v>102</v>
      </c>
      <c r="C20" s="36" t="s">
        <v>95</v>
      </c>
      <c r="D20" s="37" t="s">
        <v>18</v>
      </c>
      <c r="E20" s="36" t="s">
        <v>44</v>
      </c>
      <c r="F20" s="47">
        <v>1</v>
      </c>
      <c r="G20" s="48">
        <f>'Precio Unitario y Rappel'!$F$3*F20</f>
        <v>0.01</v>
      </c>
      <c r="H20" s="35">
        <f>59/1000000*2*12</f>
        <v>1.4159999999999999E-3</v>
      </c>
      <c r="I20" s="32"/>
    </row>
    <row r="21" spans="1:10" ht="35.15" customHeight="1" x14ac:dyDescent="0.35">
      <c r="A21" s="30"/>
      <c r="B21" s="117"/>
      <c r="C21" s="33" t="s">
        <v>59</v>
      </c>
      <c r="D21" s="34" t="s">
        <v>68</v>
      </c>
      <c r="E21" s="33" t="s">
        <v>65</v>
      </c>
      <c r="F21" s="45">
        <v>2</v>
      </c>
      <c r="G21" s="46">
        <f>'Precio Unitario y Rappel'!$F$3*F21</f>
        <v>0.02</v>
      </c>
      <c r="H21" s="35">
        <f>59/1000000*2*12</f>
        <v>1.4159999999999999E-3</v>
      </c>
      <c r="I21" s="32"/>
    </row>
    <row r="22" spans="1:10" ht="34.5" customHeight="1" x14ac:dyDescent="0.35">
      <c r="B22" s="118"/>
      <c r="C22" s="33" t="s">
        <v>64</v>
      </c>
      <c r="D22" s="34" t="s">
        <v>69</v>
      </c>
      <c r="E22" s="33" t="s">
        <v>70</v>
      </c>
      <c r="F22" s="45">
        <v>12</v>
      </c>
      <c r="G22" s="46">
        <f>'Precio Unitario y Rappel'!$F$3*F22</f>
        <v>0.12</v>
      </c>
      <c r="H22" s="35">
        <f>75/5/1000</f>
        <v>1.4999999999999999E-2</v>
      </c>
      <c r="I22" s="32"/>
    </row>
    <row r="23" spans="1:10" ht="4.5" customHeight="1" x14ac:dyDescent="0.35">
      <c r="C23" s="32"/>
      <c r="D23" s="42"/>
      <c r="E23" s="42"/>
      <c r="F23" s="51"/>
      <c r="G23" s="51"/>
      <c r="H23" s="42"/>
      <c r="I23" s="32"/>
      <c r="J23" s="42"/>
    </row>
    <row r="24" spans="1:10" x14ac:dyDescent="0.35">
      <c r="C24" s="43" t="s">
        <v>22</v>
      </c>
      <c r="D24" s="43"/>
      <c r="F24" s="52"/>
      <c r="G24" s="52"/>
      <c r="H24" s="43"/>
      <c r="J24" s="43"/>
    </row>
    <row r="25" spans="1:10" x14ac:dyDescent="0.35">
      <c r="C25" s="32"/>
      <c r="D25" s="43"/>
      <c r="E25" s="43"/>
      <c r="F25" s="52"/>
      <c r="G25" s="52"/>
      <c r="H25" s="43"/>
      <c r="J25" s="43"/>
    </row>
    <row r="26" spans="1:10" x14ac:dyDescent="0.35">
      <c r="C26" s="32"/>
    </row>
    <row r="27" spans="1:10" x14ac:dyDescent="0.35">
      <c r="C27" s="32"/>
    </row>
    <row r="28" spans="1:10" x14ac:dyDescent="0.35">
      <c r="C28" s="32"/>
    </row>
    <row r="29" spans="1:10" x14ac:dyDescent="0.35">
      <c r="C29" s="32"/>
    </row>
    <row r="30" spans="1:10" ht="14" x14ac:dyDescent="0.35">
      <c r="C30" s="32"/>
      <c r="I30" s="32"/>
    </row>
    <row r="31" spans="1:10" x14ac:dyDescent="0.35">
      <c r="C31" s="32"/>
    </row>
    <row r="32" spans="1:10" x14ac:dyDescent="0.35">
      <c r="C32" s="32"/>
    </row>
    <row r="33" spans="3:3" x14ac:dyDescent="0.35">
      <c r="C33" s="32"/>
    </row>
  </sheetData>
  <mergeCells count="5">
    <mergeCell ref="B5:B10"/>
    <mergeCell ref="B11:B12"/>
    <mergeCell ref="B16:B19"/>
    <mergeCell ref="B20:B22"/>
    <mergeCell ref="B13:B15"/>
  </mergeCells>
  <pageMargins left="0.70866141732283472" right="0.70866141732283472" top="0.74803149606299213" bottom="0.74803149606299213" header="0.31496062992125984" footer="0.31496062992125984"/>
  <pageSetup paperSize="9" scale="64" orientation="landscape"/>
  <drawing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J21"/>
  <sheetViews>
    <sheetView showGridLines="0" zoomScale="90" zoomScaleNormal="90" zoomScalePageLayoutView="90" workbookViewId="0">
      <selection activeCell="B2" sqref="B2:B20"/>
    </sheetView>
  </sheetViews>
  <sheetFormatPr baseColWidth="10" defaultColWidth="9.1796875" defaultRowHeight="14.5" x14ac:dyDescent="0.35"/>
  <cols>
    <col min="1" max="1" width="4.1796875" customWidth="1"/>
    <col min="2" max="2" width="6.26953125" customWidth="1"/>
    <col min="3" max="3" width="18" customWidth="1"/>
    <col min="4" max="4" width="15.1796875" customWidth="1"/>
    <col min="5" max="5" width="10.81640625" customWidth="1"/>
    <col min="6" max="6" width="13.453125" style="5" customWidth="1"/>
    <col min="7" max="7" width="7.453125" style="16" customWidth="1"/>
    <col min="8" max="8" width="4.453125" customWidth="1"/>
    <col min="9" max="9" width="3.26953125" style="6" customWidth="1"/>
    <col min="10" max="16" width="10.7265625" customWidth="1"/>
  </cols>
  <sheetData>
    <row r="1" spans="1:10" s="15" customFormat="1" x14ac:dyDescent="0.35">
      <c r="G1" s="16"/>
    </row>
    <row r="2" spans="1:10" s="15" customFormat="1" ht="40" customHeight="1" x14ac:dyDescent="0.35">
      <c r="B2" s="119" t="s">
        <v>21</v>
      </c>
      <c r="C2" s="1" t="s">
        <v>74</v>
      </c>
      <c r="D2" s="1" t="s">
        <v>75</v>
      </c>
      <c r="E2" s="1" t="s">
        <v>6</v>
      </c>
      <c r="F2" s="1" t="s">
        <v>3</v>
      </c>
      <c r="G2" s="16"/>
      <c r="I2" s="6"/>
    </row>
    <row r="3" spans="1:10" s="23" customFormat="1" ht="18" customHeight="1" x14ac:dyDescent="0.35">
      <c r="B3" s="120"/>
      <c r="C3" s="26">
        <v>30</v>
      </c>
      <c r="D3" s="26">
        <v>0</v>
      </c>
      <c r="E3" s="13">
        <v>0</v>
      </c>
      <c r="F3" s="14">
        <v>0.01</v>
      </c>
      <c r="H3"/>
      <c r="I3" s="24"/>
    </row>
    <row r="4" spans="1:10" s="23" customFormat="1" x14ac:dyDescent="0.35">
      <c r="B4" s="120"/>
      <c r="C4" s="26">
        <v>3000</v>
      </c>
      <c r="D4" s="26">
        <f>C4/12</f>
        <v>250</v>
      </c>
      <c r="E4" s="13">
        <v>0.03</v>
      </c>
      <c r="F4" s="3">
        <f>(1-E4)*'Precio Unitario y Rappel'!$F$3</f>
        <v>9.7000000000000003E-3</v>
      </c>
      <c r="I4" s="24"/>
    </row>
    <row r="5" spans="1:10" s="11" customFormat="1" x14ac:dyDescent="0.35">
      <c r="A5" s="15"/>
      <c r="B5" s="120"/>
      <c r="C5" s="12">
        <v>6000</v>
      </c>
      <c r="D5" s="12">
        <f>C5/12</f>
        <v>500</v>
      </c>
      <c r="E5" s="4">
        <f>E4+3%</f>
        <v>0.06</v>
      </c>
      <c r="F5" s="3">
        <f>(1-E5)*'Precio Unitario y Rappel'!$F$3</f>
        <v>9.4000000000000004E-3</v>
      </c>
      <c r="G5" s="9"/>
      <c r="I5" s="6"/>
    </row>
    <row r="6" spans="1:10" s="11" customFormat="1" x14ac:dyDescent="0.35">
      <c r="A6" s="15"/>
      <c r="B6" s="120"/>
      <c r="C6" s="12">
        <f>C5*1.5</f>
        <v>9000</v>
      </c>
      <c r="D6" s="12">
        <f t="shared" ref="D6:D20" si="0">C6/12</f>
        <v>750</v>
      </c>
      <c r="E6" s="4">
        <f t="shared" ref="E6:E20" si="1">E5+3%</f>
        <v>0.09</v>
      </c>
      <c r="F6" s="3">
        <f>(1-E6)*'Precio Unitario y Rappel'!$F$3</f>
        <v>9.1000000000000004E-3</v>
      </c>
      <c r="G6" s="9"/>
      <c r="I6" s="6"/>
    </row>
    <row r="7" spans="1:10" s="11" customFormat="1" x14ac:dyDescent="0.35">
      <c r="A7" s="15"/>
      <c r="B7" s="120"/>
      <c r="C7" s="12">
        <f t="shared" ref="C7:C20" si="2">C6*1.5</f>
        <v>13500</v>
      </c>
      <c r="D7" s="12">
        <f t="shared" si="0"/>
        <v>1125</v>
      </c>
      <c r="E7" s="4">
        <f t="shared" si="1"/>
        <v>0.12</v>
      </c>
      <c r="F7" s="3">
        <f>(1-E7)*'Precio Unitario y Rappel'!$F$3</f>
        <v>8.8000000000000005E-3</v>
      </c>
      <c r="G7" s="9"/>
      <c r="I7" s="6"/>
    </row>
    <row r="8" spans="1:10" ht="15" customHeight="1" x14ac:dyDescent="0.35">
      <c r="A8" s="15"/>
      <c r="B8" s="120"/>
      <c r="C8" s="12">
        <f t="shared" si="2"/>
        <v>20250</v>
      </c>
      <c r="D8" s="12">
        <f t="shared" si="0"/>
        <v>1687.5</v>
      </c>
      <c r="E8" s="4">
        <f t="shared" si="1"/>
        <v>0.15</v>
      </c>
      <c r="F8" s="3">
        <f>(1-E8)*'Precio Unitario y Rappel'!$F$3</f>
        <v>8.5000000000000006E-3</v>
      </c>
      <c r="H8" s="15"/>
      <c r="I8" s="7"/>
    </row>
    <row r="9" spans="1:10" x14ac:dyDescent="0.35">
      <c r="A9" s="15"/>
      <c r="B9" s="120"/>
      <c r="C9" s="12">
        <f t="shared" si="2"/>
        <v>30375</v>
      </c>
      <c r="D9" s="12">
        <f t="shared" si="0"/>
        <v>2531.25</v>
      </c>
      <c r="E9" s="4">
        <f t="shared" si="1"/>
        <v>0.18</v>
      </c>
      <c r="F9" s="3">
        <f>(1-E9)*'Precio Unitario y Rappel'!$F$3</f>
        <v>8.2000000000000007E-3</v>
      </c>
      <c r="H9" s="15"/>
      <c r="I9" s="7"/>
    </row>
    <row r="10" spans="1:10" x14ac:dyDescent="0.35">
      <c r="A10" s="15"/>
      <c r="B10" s="120"/>
      <c r="C10" s="12">
        <f t="shared" si="2"/>
        <v>45562.5</v>
      </c>
      <c r="D10" s="12">
        <f t="shared" si="0"/>
        <v>3796.875</v>
      </c>
      <c r="E10" s="4">
        <f t="shared" si="1"/>
        <v>0.21</v>
      </c>
      <c r="F10" s="3">
        <f>(1-E10)*'Precio Unitario y Rappel'!$F$3</f>
        <v>7.9000000000000008E-3</v>
      </c>
      <c r="H10" s="15"/>
      <c r="I10" s="7"/>
    </row>
    <row r="11" spans="1:10" x14ac:dyDescent="0.35">
      <c r="A11" s="15"/>
      <c r="B11" s="120"/>
      <c r="C11" s="12">
        <f t="shared" si="2"/>
        <v>68343.75</v>
      </c>
      <c r="D11" s="12">
        <f t="shared" si="0"/>
        <v>5695.3125</v>
      </c>
      <c r="E11" s="4">
        <f t="shared" si="1"/>
        <v>0.24</v>
      </c>
      <c r="F11" s="3">
        <f>(1-E11)*'Precio Unitario y Rappel'!$F$3</f>
        <v>7.6E-3</v>
      </c>
      <c r="H11" s="15"/>
      <c r="I11" s="7"/>
    </row>
    <row r="12" spans="1:10" ht="16.5" customHeight="1" x14ac:dyDescent="0.35">
      <c r="A12" s="15"/>
      <c r="B12" s="120"/>
      <c r="C12" s="12">
        <f t="shared" si="2"/>
        <v>102515.625</v>
      </c>
      <c r="D12" s="12">
        <f t="shared" si="0"/>
        <v>8542.96875</v>
      </c>
      <c r="E12" s="4">
        <f t="shared" si="1"/>
        <v>0.27</v>
      </c>
      <c r="F12" s="3">
        <f>(1-E12)*'Precio Unitario y Rappel'!$F$3</f>
        <v>7.3000000000000001E-3</v>
      </c>
      <c r="H12" s="15"/>
      <c r="I12" s="7"/>
    </row>
    <row r="13" spans="1:10" x14ac:dyDescent="0.35">
      <c r="A13" s="15"/>
      <c r="B13" s="120"/>
      <c r="C13" s="12">
        <f t="shared" si="2"/>
        <v>153773.4375</v>
      </c>
      <c r="D13" s="12">
        <f t="shared" si="0"/>
        <v>12814.453125</v>
      </c>
      <c r="E13" s="4">
        <f t="shared" si="1"/>
        <v>0.30000000000000004</v>
      </c>
      <c r="F13" s="3">
        <f>(1-E13)*'Precio Unitario y Rappel'!$F$3</f>
        <v>6.9999999999999993E-3</v>
      </c>
      <c r="H13" s="15"/>
      <c r="I13" s="7"/>
      <c r="J13" s="8"/>
    </row>
    <row r="14" spans="1:10" x14ac:dyDescent="0.35">
      <c r="A14" s="15"/>
      <c r="B14" s="120"/>
      <c r="C14" s="12">
        <f t="shared" si="2"/>
        <v>230660.15625</v>
      </c>
      <c r="D14" s="12">
        <f t="shared" si="0"/>
        <v>19221.6796875</v>
      </c>
      <c r="E14" s="4">
        <f t="shared" si="1"/>
        <v>0.33000000000000007</v>
      </c>
      <c r="F14" s="3">
        <f>(1-E14)*'Precio Unitario y Rappel'!$F$3</f>
        <v>6.6999999999999994E-3</v>
      </c>
      <c r="H14" s="15"/>
      <c r="I14" s="7"/>
    </row>
    <row r="15" spans="1:10" x14ac:dyDescent="0.35">
      <c r="A15" s="15"/>
      <c r="B15" s="120"/>
      <c r="C15" s="12">
        <f t="shared" si="2"/>
        <v>345990.234375</v>
      </c>
      <c r="D15" s="12">
        <f t="shared" si="0"/>
        <v>28832.51953125</v>
      </c>
      <c r="E15" s="4">
        <f t="shared" si="1"/>
        <v>0.3600000000000001</v>
      </c>
      <c r="F15" s="3">
        <f>(1-E15)*'Precio Unitario y Rappel'!$F$3</f>
        <v>6.3999999999999994E-3</v>
      </c>
      <c r="H15" s="15"/>
      <c r="I15" s="7"/>
    </row>
    <row r="16" spans="1:10" ht="16.5" customHeight="1" x14ac:dyDescent="0.35">
      <c r="A16" s="15"/>
      <c r="B16" s="120"/>
      <c r="C16" s="12">
        <f t="shared" si="2"/>
        <v>518985.3515625</v>
      </c>
      <c r="D16" s="12">
        <f t="shared" si="0"/>
        <v>43248.779296875</v>
      </c>
      <c r="E16" s="4">
        <f t="shared" si="1"/>
        <v>0.39000000000000012</v>
      </c>
      <c r="F16" s="3">
        <f>(1-E16)*'Precio Unitario y Rappel'!$F$3</f>
        <v>6.0999999999999987E-3</v>
      </c>
      <c r="H16" s="15"/>
      <c r="I16" s="7"/>
    </row>
    <row r="17" spans="1:8" x14ac:dyDescent="0.35">
      <c r="A17" s="15"/>
      <c r="B17" s="120"/>
      <c r="C17" s="12">
        <f t="shared" si="2"/>
        <v>778478.02734375</v>
      </c>
      <c r="D17" s="12">
        <f t="shared" si="0"/>
        <v>64873.1689453125</v>
      </c>
      <c r="E17" s="4">
        <f t="shared" si="1"/>
        <v>0.42000000000000015</v>
      </c>
      <c r="F17" s="3">
        <f>(1-E17)*'Precio Unitario y Rappel'!$F$3</f>
        <v>5.7999999999999987E-3</v>
      </c>
      <c r="H17" s="15"/>
    </row>
    <row r="18" spans="1:8" x14ac:dyDescent="0.35">
      <c r="A18" s="15"/>
      <c r="B18" s="120"/>
      <c r="C18" s="12">
        <f t="shared" si="2"/>
        <v>1167717.041015625</v>
      </c>
      <c r="D18" s="12">
        <f t="shared" si="0"/>
        <v>97309.75341796875</v>
      </c>
      <c r="E18" s="4">
        <f t="shared" si="1"/>
        <v>0.45000000000000018</v>
      </c>
      <c r="F18" s="3">
        <f>(1-E18)*'Precio Unitario y Rappel'!$F$3</f>
        <v>5.4999999999999979E-3</v>
      </c>
      <c r="H18" s="15"/>
    </row>
    <row r="19" spans="1:8" x14ac:dyDescent="0.35">
      <c r="A19" s="15"/>
      <c r="B19" s="120"/>
      <c r="C19" s="12">
        <f t="shared" si="2"/>
        <v>1751575.5615234375</v>
      </c>
      <c r="D19" s="12">
        <f t="shared" si="0"/>
        <v>145964.63012695313</v>
      </c>
      <c r="E19" s="4">
        <f t="shared" si="1"/>
        <v>0.4800000000000002</v>
      </c>
      <c r="F19" s="3">
        <f>(1-E19)*'Precio Unitario y Rappel'!$F$3</f>
        <v>5.199999999999998E-3</v>
      </c>
      <c r="H19" s="15"/>
    </row>
    <row r="20" spans="1:8" x14ac:dyDescent="0.35">
      <c r="A20" s="15"/>
      <c r="B20" s="120"/>
      <c r="C20" s="12">
        <f t="shared" si="2"/>
        <v>2627363.3422851563</v>
      </c>
      <c r="D20" s="12">
        <f t="shared" si="0"/>
        <v>218946.94519042969</v>
      </c>
      <c r="E20" s="4">
        <f t="shared" si="1"/>
        <v>0.51000000000000023</v>
      </c>
      <c r="F20" s="3">
        <f>(1-E20)*'Precio Unitario y Rappel'!$F$3</f>
        <v>4.8999999999999981E-3</v>
      </c>
      <c r="H20" s="15"/>
    </row>
    <row r="21" spans="1:8" x14ac:dyDescent="0.35">
      <c r="B21" s="25" t="s">
        <v>22</v>
      </c>
    </row>
  </sheetData>
  <sheetProtection password="A8E1" sheet="1" objects="1" scenarios="1"/>
  <mergeCells count="1">
    <mergeCell ref="B2:B20"/>
  </mergeCells>
  <pageMargins left="0.23622047244094491" right="0.23622047244094491" top="0.74803149606299213" bottom="0.74803149606299213" header="0.31496062992125984" footer="0.31496062992125984"/>
  <pageSetup paperSize="9" scale="83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4"/>
  <dimension ref="B2:L20"/>
  <sheetViews>
    <sheetView showGridLines="0" workbookViewId="0">
      <selection activeCell="B2" sqref="B2:B20"/>
    </sheetView>
  </sheetViews>
  <sheetFormatPr baseColWidth="10" defaultColWidth="9.1796875" defaultRowHeight="36" customHeight="1" x14ac:dyDescent="0.35"/>
  <cols>
    <col min="1" max="1" width="9.1796875" style="17"/>
    <col min="2" max="2" width="31.7265625" style="17" customWidth="1"/>
    <col min="3" max="4" width="20.453125" style="17" customWidth="1"/>
    <col min="5" max="9" width="9.1796875" style="17"/>
    <col min="10" max="10" width="45.81640625" style="17" customWidth="1"/>
    <col min="11" max="11" width="13.453125" style="17" customWidth="1"/>
    <col min="12" max="12" width="28.453125" style="17" customWidth="1"/>
    <col min="13" max="16384" width="9.1796875" style="17"/>
  </cols>
  <sheetData>
    <row r="2" spans="2:11" ht="36" customHeight="1" x14ac:dyDescent="0.35">
      <c r="C2" s="18" t="s">
        <v>27</v>
      </c>
      <c r="D2" s="18" t="s">
        <v>36</v>
      </c>
    </row>
    <row r="3" spans="2:11" ht="36" customHeight="1" x14ac:dyDescent="0.35">
      <c r="B3" s="20" t="s">
        <v>28</v>
      </c>
      <c r="C3" s="19">
        <v>18000</v>
      </c>
      <c r="D3" s="19">
        <v>3600</v>
      </c>
      <c r="K3" s="18" t="s">
        <v>34</v>
      </c>
    </row>
    <row r="4" spans="2:11" ht="36" customHeight="1" x14ac:dyDescent="0.35">
      <c r="B4" s="20" t="s">
        <v>30</v>
      </c>
      <c r="C4" s="19">
        <v>18000</v>
      </c>
      <c r="D4" s="19">
        <v>3600</v>
      </c>
      <c r="J4" s="21" t="s">
        <v>35</v>
      </c>
      <c r="K4" s="19">
        <v>75</v>
      </c>
    </row>
    <row r="5" spans="2:11" ht="36" customHeight="1" x14ac:dyDescent="0.35">
      <c r="B5" s="20" t="s">
        <v>29</v>
      </c>
      <c r="C5" s="19">
        <v>12000</v>
      </c>
      <c r="D5" s="19">
        <v>2400</v>
      </c>
    </row>
    <row r="6" spans="2:11" ht="36" customHeight="1" x14ac:dyDescent="0.35">
      <c r="B6" s="20" t="s">
        <v>31</v>
      </c>
      <c r="C6" s="19">
        <v>12000</v>
      </c>
      <c r="D6" s="19">
        <v>2400</v>
      </c>
    </row>
    <row r="7" spans="2:11" ht="36" customHeight="1" x14ac:dyDescent="0.35">
      <c r="J7" s="21" t="s">
        <v>7</v>
      </c>
      <c r="K7" s="10" t="s">
        <v>53</v>
      </c>
    </row>
    <row r="8" spans="2:11" ht="36" customHeight="1" x14ac:dyDescent="0.35">
      <c r="D8" s="18" t="s">
        <v>32</v>
      </c>
      <c r="J8" s="21" t="s">
        <v>52</v>
      </c>
      <c r="K8" s="2" t="s">
        <v>20</v>
      </c>
    </row>
    <row r="9" spans="2:11" ht="36" customHeight="1" x14ac:dyDescent="0.35">
      <c r="B9" s="121" t="s">
        <v>33</v>
      </c>
      <c r="C9" s="122"/>
      <c r="D9" s="19">
        <v>6000</v>
      </c>
      <c r="J9" s="21" t="s">
        <v>50</v>
      </c>
      <c r="K9" s="10" t="s">
        <v>20</v>
      </c>
    </row>
    <row r="10" spans="2:11" ht="36" customHeight="1" x14ac:dyDescent="0.35">
      <c r="J10" s="21" t="s">
        <v>8</v>
      </c>
      <c r="K10" s="10">
        <v>530</v>
      </c>
    </row>
    <row r="11" spans="2:11" ht="36" customHeight="1" x14ac:dyDescent="0.35">
      <c r="J11" s="21" t="s">
        <v>9</v>
      </c>
      <c r="K11" s="10">
        <v>99</v>
      </c>
    </row>
    <row r="12" spans="2:11" ht="36" customHeight="1" x14ac:dyDescent="0.35">
      <c r="C12" s="18" t="s">
        <v>27</v>
      </c>
      <c r="D12" s="18" t="s">
        <v>36</v>
      </c>
      <c r="J12" s="21" t="s">
        <v>2</v>
      </c>
      <c r="K12" s="10">
        <v>199</v>
      </c>
    </row>
    <row r="13" spans="2:11" ht="36" customHeight="1" x14ac:dyDescent="0.35">
      <c r="B13" s="20" t="s">
        <v>37</v>
      </c>
      <c r="C13" s="19">
        <v>15000</v>
      </c>
      <c r="D13" s="19">
        <v>3000</v>
      </c>
      <c r="J13" s="21" t="s">
        <v>0</v>
      </c>
      <c r="K13" s="2" t="s">
        <v>20</v>
      </c>
    </row>
    <row r="14" spans="2:11" ht="36" customHeight="1" x14ac:dyDescent="0.35">
      <c r="J14" s="21" t="s">
        <v>1</v>
      </c>
      <c r="K14" s="2" t="s">
        <v>20</v>
      </c>
    </row>
    <row r="15" spans="2:11" ht="36" customHeight="1" x14ac:dyDescent="0.35">
      <c r="J15" s="21" t="s">
        <v>5</v>
      </c>
      <c r="K15" s="2" t="s">
        <v>20</v>
      </c>
    </row>
    <row r="16" spans="2:11" ht="36" customHeight="1" x14ac:dyDescent="0.35">
      <c r="J16" s="123" t="s">
        <v>22</v>
      </c>
      <c r="K16" s="123"/>
    </row>
    <row r="17" spans="11:12" ht="36" customHeight="1" x14ac:dyDescent="0.35">
      <c r="K17" s="22" t="s">
        <v>56</v>
      </c>
      <c r="L17" s="2" t="s">
        <v>54</v>
      </c>
    </row>
    <row r="18" spans="11:12" ht="36" customHeight="1" x14ac:dyDescent="0.35">
      <c r="K18" s="22" t="s">
        <v>57</v>
      </c>
      <c r="L18" s="2" t="s">
        <v>55</v>
      </c>
    </row>
    <row r="19" spans="11:12" ht="36" customHeight="1" x14ac:dyDescent="0.35">
      <c r="K19" s="22" t="s">
        <v>58</v>
      </c>
      <c r="L19" s="10">
        <v>4300</v>
      </c>
    </row>
    <row r="20" spans="11:12" ht="36" customHeight="1" x14ac:dyDescent="0.35">
      <c r="K20" s="123" t="s">
        <v>22</v>
      </c>
      <c r="L20" s="123"/>
    </row>
  </sheetData>
  <mergeCells count="3">
    <mergeCell ref="B9:C9"/>
    <mergeCell ref="J16:K16"/>
    <mergeCell ref="K20:L20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showGridLines="0" workbookViewId="0">
      <selection activeCell="B2" sqref="B2:B20"/>
    </sheetView>
  </sheetViews>
  <sheetFormatPr baseColWidth="10" defaultColWidth="8.81640625" defaultRowHeight="14.5" x14ac:dyDescent="0.35"/>
  <cols>
    <col min="1" max="1" width="8.81640625" style="23"/>
    <col min="2" max="3" width="10.453125" style="23" bestFit="1" customWidth="1"/>
    <col min="4" max="4" width="14.1796875" style="23" bestFit="1" customWidth="1"/>
    <col min="5" max="5" width="12.453125" style="23" bestFit="1" customWidth="1"/>
    <col min="6" max="6" width="11.453125" style="23" bestFit="1" customWidth="1"/>
    <col min="7" max="16384" width="8.81640625" style="23"/>
  </cols>
  <sheetData>
    <row r="1" spans="1:6" x14ac:dyDescent="0.35">
      <c r="B1" s="23" t="s">
        <v>103</v>
      </c>
      <c r="C1" s="23" t="s">
        <v>82</v>
      </c>
      <c r="D1" s="23" t="s">
        <v>104</v>
      </c>
      <c r="E1" s="23" t="s">
        <v>105</v>
      </c>
      <c r="F1" s="23" t="s">
        <v>106</v>
      </c>
    </row>
    <row r="2" spans="1:6" x14ac:dyDescent="0.35">
      <c r="A2" s="23" t="s">
        <v>103</v>
      </c>
      <c r="B2" s="53">
        <v>1</v>
      </c>
      <c r="C2" s="54">
        <v>1.33</v>
      </c>
      <c r="D2" s="54">
        <v>2500</v>
      </c>
      <c r="E2" s="54">
        <v>700</v>
      </c>
      <c r="F2" s="54">
        <v>17</v>
      </c>
    </row>
    <row r="3" spans="1:6" x14ac:dyDescent="0.35">
      <c r="A3" s="23" t="s">
        <v>82</v>
      </c>
      <c r="B3" s="53">
        <f>1/C2</f>
        <v>0.75187969924812026</v>
      </c>
      <c r="C3" s="53">
        <v>1</v>
      </c>
      <c r="D3" s="53">
        <f>D$2*$B3</f>
        <v>1879.6992481203006</v>
      </c>
      <c r="E3" s="53">
        <f>E$2*$B3</f>
        <v>526.31578947368416</v>
      </c>
      <c r="F3" s="53">
        <f>F$2*$B3</f>
        <v>12.781954887218044</v>
      </c>
    </row>
    <row r="4" spans="1:6" x14ac:dyDescent="0.35">
      <c r="A4" s="23" t="s">
        <v>104</v>
      </c>
      <c r="B4" s="53">
        <f>1/D2</f>
        <v>4.0000000000000002E-4</v>
      </c>
      <c r="C4" s="53">
        <f>1/D3</f>
        <v>5.3200000000000003E-4</v>
      </c>
      <c r="D4" s="53">
        <v>1</v>
      </c>
      <c r="E4" s="53">
        <f>E$2*$B4</f>
        <v>0.28000000000000003</v>
      </c>
      <c r="F4" s="53">
        <f>F$2*$B4</f>
        <v>6.8000000000000005E-3</v>
      </c>
    </row>
    <row r="5" spans="1:6" x14ac:dyDescent="0.35">
      <c r="A5" s="23" t="s">
        <v>105</v>
      </c>
      <c r="B5" s="53">
        <f>1/E2</f>
        <v>1.4285714285714286E-3</v>
      </c>
      <c r="C5" s="53">
        <f>1/E3</f>
        <v>1.9000000000000002E-3</v>
      </c>
      <c r="D5" s="53">
        <f>1/E4</f>
        <v>3.5714285714285712</v>
      </c>
      <c r="E5" s="53">
        <v>1</v>
      </c>
      <c r="F5" s="53">
        <f>F$2*$B5</f>
        <v>2.4285714285714285E-2</v>
      </c>
    </row>
    <row r="6" spans="1:6" x14ac:dyDescent="0.35">
      <c r="A6" s="23" t="s">
        <v>106</v>
      </c>
      <c r="B6" s="53">
        <f>1/F2</f>
        <v>5.8823529411764705E-2</v>
      </c>
      <c r="C6" s="53">
        <f>1/F3</f>
        <v>7.823529411764707E-2</v>
      </c>
      <c r="D6" s="53">
        <f>1/F4</f>
        <v>147.05882352941177</v>
      </c>
      <c r="E6" s="53">
        <f>1/F5</f>
        <v>41.176470588235297</v>
      </c>
      <c r="F6" s="53">
        <v>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>
      <selection activeCell="B2" sqref="B2:B20"/>
    </sheetView>
  </sheetViews>
  <sheetFormatPr baseColWidth="10" defaultColWidth="8.81640625" defaultRowHeight="14.5" x14ac:dyDescent="0.35"/>
  <cols>
    <col min="1" max="1" width="18.453125" style="29" customWidth="1"/>
    <col min="2" max="2" width="94.1796875" customWidth="1"/>
  </cols>
  <sheetData>
    <row r="1" spans="1:2" x14ac:dyDescent="0.35">
      <c r="A1" s="29" t="s">
        <v>96</v>
      </c>
      <c r="B1" t="s">
        <v>97</v>
      </c>
    </row>
    <row r="2" spans="1:2" x14ac:dyDescent="0.35">
      <c r="A2" s="29">
        <v>41313</v>
      </c>
      <c r="B2" t="s">
        <v>98</v>
      </c>
    </row>
    <row r="3" spans="1:2" x14ac:dyDescent="0.35">
      <c r="A3" s="29">
        <v>41328</v>
      </c>
      <c r="B3" t="s">
        <v>99</v>
      </c>
    </row>
    <row r="4" spans="1:2" x14ac:dyDescent="0.35">
      <c r="A4" s="29">
        <v>41506</v>
      </c>
      <c r="B4" t="s">
        <v>110</v>
      </c>
    </row>
  </sheetData>
  <sheetProtection password="A8E1" sheet="1" objects="1" scenarios="1"/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Contrato Anual Volumen</vt:lpstr>
      <vt:lpstr>SKUs y Créditos</vt:lpstr>
      <vt:lpstr>Precio Unitario y Rappel</vt:lpstr>
      <vt:lpstr>Licencias y Servicios</vt:lpstr>
      <vt:lpstr>Cambios</vt:lpstr>
      <vt:lpstr>Versiones</vt:lpstr>
      <vt:lpstr>'Contrato Anual Volumen'!Área_de_impresión</vt:lpstr>
      <vt:lpstr>'Precio Unitario y Rappel'!Área_de_impresión</vt:lpstr>
      <vt:lpstr>'SKUs y Créditos'!Área_de_impresión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Jacobo</dc:creator>
  <cp:lastModifiedBy>JORGE CAMPOS MORAL</cp:lastModifiedBy>
  <cp:lastPrinted>2014-01-19T19:09:07Z</cp:lastPrinted>
  <dcterms:created xsi:type="dcterms:W3CDTF">2011-08-11T16:32:36Z</dcterms:created>
  <dcterms:modified xsi:type="dcterms:W3CDTF">2018-04-22T16:36:47Z</dcterms:modified>
</cp:coreProperties>
</file>